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R:\FUNDS\COMMERCIAL GAMING\7_Monthly Website Reports_Commercial\"/>
    </mc:Choice>
  </mc:AlternateContent>
  <xr:revisionPtr revIDLastSave="0" documentId="13_ncr:1_{70CB0885-70DE-4BF7-844E-91C478ADA942}" xr6:coauthVersionLast="47" xr6:coauthVersionMax="47" xr10:uidLastSave="{00000000-0000-0000-0000-000000000000}"/>
  <bookViews>
    <workbookView xWindow="28680" yWindow="-120" windowWidth="29040" windowHeight="15840" xr2:uid="{00000000-000D-0000-FFFF-FFFF00000000}"/>
  </bookViews>
  <sheets>
    <sheet name="24-25 Tioga Monthly" sheetId="10" r:id="rId1"/>
    <sheet name="23-24 Tioga Monthly" sheetId="9" r:id="rId2"/>
    <sheet name="22-23 Tioga Monthly" sheetId="8" r:id="rId3"/>
    <sheet name="21-22 Tioga Monthly" sheetId="7" r:id="rId4"/>
    <sheet name="20-21 Tioga Monthly" sheetId="6" r:id="rId5"/>
    <sheet name="19-20 Tioga Monthly" sheetId="5" r:id="rId6"/>
    <sheet name="18 -19 Tioga Monthly " sheetId="4" r:id="rId7"/>
    <sheet name="17-18 Tioga Monthly " sheetId="2" r:id="rId8"/>
    <sheet name="16-17 Tioga Monthly" sheetId="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6" i="10" l="1"/>
  <c r="F48" i="10"/>
  <c r="E48" i="10"/>
  <c r="Q47" i="10"/>
  <c r="O47" i="10"/>
  <c r="N47" i="10"/>
  <c r="M47" i="10"/>
  <c r="L47" i="10"/>
  <c r="J47" i="10"/>
  <c r="I47" i="10"/>
  <c r="H47" i="10"/>
  <c r="D47" i="10"/>
  <c r="C47" i="10"/>
  <c r="Q46" i="10"/>
  <c r="O46" i="10"/>
  <c r="N46" i="10"/>
  <c r="M46" i="10"/>
  <c r="L46" i="10"/>
  <c r="J46" i="10"/>
  <c r="I46" i="10"/>
  <c r="H46" i="10"/>
  <c r="D46" i="10"/>
  <c r="C46" i="10"/>
  <c r="Q45" i="10"/>
  <c r="O45" i="10"/>
  <c r="N45" i="10"/>
  <c r="M45" i="10"/>
  <c r="L45" i="10"/>
  <c r="J45" i="10"/>
  <c r="I45" i="10"/>
  <c r="H45" i="10"/>
  <c r="D45" i="10"/>
  <c r="C45" i="10"/>
  <c r="Q44" i="10"/>
  <c r="O44" i="10"/>
  <c r="N44" i="10"/>
  <c r="M44" i="10"/>
  <c r="L44" i="10"/>
  <c r="J44" i="10"/>
  <c r="I44" i="10"/>
  <c r="H44" i="10"/>
  <c r="D44" i="10"/>
  <c r="C44" i="10"/>
  <c r="Q43" i="10"/>
  <c r="O43" i="10"/>
  <c r="N43" i="10"/>
  <c r="M43" i="10"/>
  <c r="L43" i="10"/>
  <c r="J43" i="10"/>
  <c r="I43" i="10"/>
  <c r="H43" i="10"/>
  <c r="D43" i="10"/>
  <c r="C43" i="10"/>
  <c r="Q42" i="10"/>
  <c r="O42" i="10"/>
  <c r="N42" i="10"/>
  <c r="M42" i="10"/>
  <c r="L42" i="10"/>
  <c r="J42" i="10"/>
  <c r="I42" i="10"/>
  <c r="H42" i="10"/>
  <c r="D42" i="10"/>
  <c r="C42" i="10"/>
  <c r="Q41" i="10"/>
  <c r="O41" i="10"/>
  <c r="N41" i="10"/>
  <c r="M41" i="10"/>
  <c r="L41" i="10"/>
  <c r="J41" i="10"/>
  <c r="I41" i="10"/>
  <c r="H41" i="10"/>
  <c r="D41" i="10"/>
  <c r="C41" i="10"/>
  <c r="Q40" i="10"/>
  <c r="O40" i="10"/>
  <c r="N40" i="10"/>
  <c r="M40" i="10"/>
  <c r="L40" i="10"/>
  <c r="J40" i="10"/>
  <c r="I40" i="10"/>
  <c r="H40" i="10"/>
  <c r="D40" i="10"/>
  <c r="C40" i="10"/>
  <c r="Q39" i="10"/>
  <c r="O39" i="10"/>
  <c r="N39" i="10"/>
  <c r="M39" i="10"/>
  <c r="L39" i="10"/>
  <c r="J39" i="10"/>
  <c r="I39" i="10"/>
  <c r="H39" i="10"/>
  <c r="D39" i="10"/>
  <c r="C39" i="10"/>
  <c r="Q38" i="10"/>
  <c r="O38" i="10"/>
  <c r="N38" i="10"/>
  <c r="M38" i="10"/>
  <c r="L38" i="10"/>
  <c r="J38" i="10"/>
  <c r="I38" i="10"/>
  <c r="H38" i="10"/>
  <c r="D38" i="10"/>
  <c r="C38" i="10"/>
  <c r="Q37" i="10"/>
  <c r="O37" i="10"/>
  <c r="N37" i="10"/>
  <c r="M37" i="10"/>
  <c r="L37" i="10"/>
  <c r="J37" i="10"/>
  <c r="I37" i="10"/>
  <c r="H37" i="10"/>
  <c r="D37" i="10"/>
  <c r="C37" i="10"/>
  <c r="Q36" i="10"/>
  <c r="O36" i="10"/>
  <c r="N36" i="10"/>
  <c r="M36" i="10"/>
  <c r="L36" i="10"/>
  <c r="J36" i="10"/>
  <c r="I36" i="10"/>
  <c r="H36" i="10"/>
  <c r="D36" i="10"/>
  <c r="C36" i="10"/>
  <c r="U26" i="10"/>
  <c r="T26" i="10"/>
  <c r="R26" i="10"/>
  <c r="O26" i="10"/>
  <c r="N26" i="10"/>
  <c r="M26" i="10"/>
  <c r="F26" i="10"/>
  <c r="E26" i="10"/>
  <c r="D26" i="10"/>
  <c r="C26" i="10"/>
  <c r="W25" i="10"/>
  <c r="W24" i="10"/>
  <c r="W23" i="10"/>
  <c r="W22" i="10"/>
  <c r="W21" i="10"/>
  <c r="W20" i="10"/>
  <c r="W19" i="10"/>
  <c r="W18" i="10"/>
  <c r="W17" i="10"/>
  <c r="W16" i="10"/>
  <c r="W15" i="10"/>
  <c r="W14" i="10"/>
  <c r="I26" i="9"/>
  <c r="Q47" i="8"/>
  <c r="Q46" i="8"/>
  <c r="Q45" i="8"/>
  <c r="Q44" i="8"/>
  <c r="Q43" i="8"/>
  <c r="Q42" i="8"/>
  <c r="Q41" i="8"/>
  <c r="Q40" i="8"/>
  <c r="Q39" i="8"/>
  <c r="Q38" i="8"/>
  <c r="Q37" i="8"/>
  <c r="O47" i="8"/>
  <c r="O46" i="8"/>
  <c r="O45" i="8"/>
  <c r="O44" i="8"/>
  <c r="O43" i="8"/>
  <c r="O42" i="8"/>
  <c r="O41" i="8"/>
  <c r="O40" i="8"/>
  <c r="O39" i="8"/>
  <c r="O38" i="8"/>
  <c r="O37" i="8"/>
  <c r="N47" i="8"/>
  <c r="N46" i="8"/>
  <c r="N45" i="8"/>
  <c r="N44" i="8"/>
  <c r="N43" i="8"/>
  <c r="N42" i="8"/>
  <c r="N41" i="8"/>
  <c r="N40" i="8"/>
  <c r="N39" i="8"/>
  <c r="N38" i="8"/>
  <c r="N37" i="8"/>
  <c r="M47" i="8"/>
  <c r="M46" i="8"/>
  <c r="M45" i="8"/>
  <c r="M44" i="8"/>
  <c r="M43" i="8"/>
  <c r="M42" i="8"/>
  <c r="M41" i="8"/>
  <c r="M40" i="8"/>
  <c r="M39" i="8"/>
  <c r="M38" i="8"/>
  <c r="M37" i="8"/>
  <c r="L47" i="8"/>
  <c r="L46" i="8"/>
  <c r="L45" i="8"/>
  <c r="L44" i="8"/>
  <c r="L43" i="8"/>
  <c r="L42" i="8"/>
  <c r="L41" i="8"/>
  <c r="L40" i="8"/>
  <c r="L39" i="8"/>
  <c r="L38" i="8"/>
  <c r="L37" i="8"/>
  <c r="J47" i="8"/>
  <c r="J46" i="8"/>
  <c r="J45" i="8"/>
  <c r="J44" i="8"/>
  <c r="J43" i="8"/>
  <c r="J42" i="8"/>
  <c r="J41" i="8"/>
  <c r="J40" i="8"/>
  <c r="J39" i="8"/>
  <c r="J38" i="8"/>
  <c r="J37" i="8"/>
  <c r="I47" i="8"/>
  <c r="I46" i="8"/>
  <c r="I45" i="8"/>
  <c r="I44" i="8"/>
  <c r="I43" i="8"/>
  <c r="I42" i="8"/>
  <c r="I41" i="8"/>
  <c r="I40" i="8"/>
  <c r="I39" i="8"/>
  <c r="I38" i="8"/>
  <c r="I37" i="8"/>
  <c r="H47" i="8"/>
  <c r="H46" i="8"/>
  <c r="H45" i="8"/>
  <c r="H44" i="8"/>
  <c r="H43" i="8"/>
  <c r="H42" i="8"/>
  <c r="H41" i="8"/>
  <c r="H40" i="8"/>
  <c r="H39" i="8"/>
  <c r="H38" i="8"/>
  <c r="H37" i="8"/>
  <c r="D47" i="8"/>
  <c r="D46" i="8"/>
  <c r="D45" i="8"/>
  <c r="D44" i="8"/>
  <c r="D43" i="8"/>
  <c r="D42" i="8"/>
  <c r="D41" i="8"/>
  <c r="D40" i="8"/>
  <c r="D39" i="8"/>
  <c r="D38" i="8"/>
  <c r="D37" i="8"/>
  <c r="C47" i="8"/>
  <c r="C46" i="8"/>
  <c r="C45" i="8"/>
  <c r="C44" i="8"/>
  <c r="C43" i="8"/>
  <c r="C42" i="8"/>
  <c r="C41" i="8"/>
  <c r="C40" i="8"/>
  <c r="C39" i="8"/>
  <c r="C38" i="8"/>
  <c r="C37" i="8"/>
  <c r="Q36" i="8"/>
  <c r="O36" i="8"/>
  <c r="N36" i="8"/>
  <c r="M36" i="8"/>
  <c r="L36" i="8"/>
  <c r="J36" i="8"/>
  <c r="I36" i="8"/>
  <c r="H36" i="8"/>
  <c r="D36" i="8"/>
  <c r="C36" i="8"/>
  <c r="Q47" i="9"/>
  <c r="Q46" i="9"/>
  <c r="Q45" i="9"/>
  <c r="Q44" i="9"/>
  <c r="Q43" i="9"/>
  <c r="Q42" i="9"/>
  <c r="Q41" i="9"/>
  <c r="Q40" i="9"/>
  <c r="Q39" i="9"/>
  <c r="Q38" i="9"/>
  <c r="O47" i="9"/>
  <c r="O46" i="9"/>
  <c r="O45" i="9"/>
  <c r="O44" i="9"/>
  <c r="O43" i="9"/>
  <c r="O42" i="9"/>
  <c r="O41" i="9"/>
  <c r="O40" i="9"/>
  <c r="O39" i="9"/>
  <c r="O38" i="9"/>
  <c r="N47" i="9"/>
  <c r="N46" i="9"/>
  <c r="N45" i="9"/>
  <c r="N44" i="9"/>
  <c r="N43" i="9"/>
  <c r="N42" i="9"/>
  <c r="N41" i="9"/>
  <c r="N40" i="9"/>
  <c r="N39" i="9"/>
  <c r="N38" i="9"/>
  <c r="M47" i="9"/>
  <c r="M46" i="9"/>
  <c r="M45" i="9"/>
  <c r="M44" i="9"/>
  <c r="M43" i="9"/>
  <c r="M42" i="9"/>
  <c r="M41" i="9"/>
  <c r="M40" i="9"/>
  <c r="M39" i="9"/>
  <c r="M38" i="9"/>
  <c r="L47" i="9"/>
  <c r="L46" i="9"/>
  <c r="L45" i="9"/>
  <c r="L44" i="9"/>
  <c r="L43" i="9"/>
  <c r="L42" i="9"/>
  <c r="L41" i="9"/>
  <c r="L40" i="9"/>
  <c r="L39" i="9"/>
  <c r="L38" i="9"/>
  <c r="J47" i="9"/>
  <c r="J46" i="9"/>
  <c r="J45" i="9"/>
  <c r="J44" i="9"/>
  <c r="J43" i="9"/>
  <c r="J42" i="9"/>
  <c r="J41" i="9"/>
  <c r="J40" i="9"/>
  <c r="J39" i="9"/>
  <c r="J38" i="9"/>
  <c r="I47" i="9"/>
  <c r="I46" i="9"/>
  <c r="I45" i="9"/>
  <c r="I44" i="9"/>
  <c r="I43" i="9"/>
  <c r="I42" i="9"/>
  <c r="I41" i="9"/>
  <c r="I40" i="9"/>
  <c r="I39" i="9"/>
  <c r="I38" i="9"/>
  <c r="H47" i="9"/>
  <c r="H46" i="9"/>
  <c r="H45" i="9"/>
  <c r="H44" i="9"/>
  <c r="H43" i="9"/>
  <c r="H42" i="9"/>
  <c r="H41" i="9"/>
  <c r="H40" i="9"/>
  <c r="H39" i="9"/>
  <c r="H38" i="9"/>
  <c r="D47" i="9"/>
  <c r="D46" i="9"/>
  <c r="D45" i="9"/>
  <c r="D44" i="9"/>
  <c r="D43" i="9"/>
  <c r="D42" i="9"/>
  <c r="D41" i="9"/>
  <c r="D40" i="9"/>
  <c r="D39" i="9"/>
  <c r="D38" i="9"/>
  <c r="C47" i="9"/>
  <c r="C46" i="9"/>
  <c r="C45" i="9"/>
  <c r="C44" i="9"/>
  <c r="C43" i="9"/>
  <c r="C42" i="9"/>
  <c r="C41" i="9"/>
  <c r="C40" i="9"/>
  <c r="C39" i="9"/>
  <c r="C38" i="9"/>
  <c r="C37" i="9"/>
  <c r="D37" i="9"/>
  <c r="Q37" i="9"/>
  <c r="O37" i="9"/>
  <c r="N37" i="9"/>
  <c r="M37" i="9"/>
  <c r="L37" i="9"/>
  <c r="J37" i="9"/>
  <c r="I37" i="9"/>
  <c r="H37" i="9"/>
  <c r="Q36" i="9"/>
  <c r="O36" i="9"/>
  <c r="N36" i="9"/>
  <c r="M36" i="9"/>
  <c r="L36" i="9"/>
  <c r="J36" i="9"/>
  <c r="I36" i="9"/>
  <c r="H36" i="9"/>
  <c r="C36" i="9"/>
  <c r="D36" i="9"/>
  <c r="F48" i="9"/>
  <c r="E48" i="9"/>
  <c r="U26" i="9"/>
  <c r="T26" i="9"/>
  <c r="R26" i="9"/>
  <c r="O26" i="9"/>
  <c r="N26" i="9"/>
  <c r="M26" i="9"/>
  <c r="F26" i="9"/>
  <c r="E26" i="9"/>
  <c r="D26" i="9"/>
  <c r="C26" i="9"/>
  <c r="W25" i="9"/>
  <c r="W24" i="9"/>
  <c r="W23" i="9"/>
  <c r="W22" i="9"/>
  <c r="W21" i="9"/>
  <c r="W20" i="9"/>
  <c r="W19" i="9"/>
  <c r="W18" i="9"/>
  <c r="W17" i="9"/>
  <c r="W16" i="9"/>
  <c r="W15" i="9"/>
  <c r="W14" i="9"/>
  <c r="D28" i="10" l="1"/>
  <c r="I48" i="10"/>
  <c r="E28" i="10"/>
  <c r="H48" i="10"/>
  <c r="J48" i="10"/>
  <c r="L48" i="10"/>
  <c r="F28" i="10"/>
  <c r="N48" i="10"/>
  <c r="N50" i="10" s="1"/>
  <c r="C48" i="10"/>
  <c r="O48" i="10"/>
  <c r="M48" i="10"/>
  <c r="W26" i="10"/>
  <c r="D48" i="10"/>
  <c r="Q48" i="10"/>
  <c r="H48" i="9"/>
  <c r="D28" i="9"/>
  <c r="E28" i="9"/>
  <c r="I48" i="9"/>
  <c r="L48" i="9"/>
  <c r="M48" i="9"/>
  <c r="J48" i="9"/>
  <c r="N48" i="9"/>
  <c r="C48" i="9"/>
  <c r="O48" i="9"/>
  <c r="W26" i="9"/>
  <c r="D48" i="9"/>
  <c r="Q48" i="9"/>
  <c r="F28" i="9"/>
  <c r="W20" i="8"/>
  <c r="Q50" i="10" l="1"/>
  <c r="O50" i="10"/>
  <c r="C50" i="10"/>
  <c r="H50" i="10"/>
  <c r="M50" i="10"/>
  <c r="I50" i="10"/>
  <c r="D50" i="10"/>
  <c r="L50" i="10"/>
  <c r="J50" i="10"/>
  <c r="C50" i="9"/>
  <c r="Q50" i="9"/>
  <c r="L50" i="9"/>
  <c r="I50" i="9"/>
  <c r="O50" i="9"/>
  <c r="N50" i="9"/>
  <c r="J50" i="9"/>
  <c r="D50" i="9"/>
  <c r="M50" i="9"/>
  <c r="H50" i="9"/>
  <c r="Q47" i="7"/>
  <c r="O47" i="7"/>
  <c r="N47" i="7"/>
  <c r="M47" i="7"/>
  <c r="L47" i="7"/>
  <c r="Q46" i="7"/>
  <c r="O46" i="7"/>
  <c r="N46" i="7"/>
  <c r="M46" i="7"/>
  <c r="L46" i="7"/>
  <c r="Q45" i="7"/>
  <c r="O45" i="7"/>
  <c r="N45" i="7"/>
  <c r="M45" i="7"/>
  <c r="L45" i="7"/>
  <c r="Q44" i="7"/>
  <c r="O44" i="7"/>
  <c r="N44" i="7"/>
  <c r="M44" i="7"/>
  <c r="L44" i="7"/>
  <c r="Q43" i="7"/>
  <c r="O43" i="7"/>
  <c r="N43" i="7"/>
  <c r="M43" i="7"/>
  <c r="L43" i="7"/>
  <c r="Q42" i="7"/>
  <c r="O42" i="7"/>
  <c r="N42" i="7"/>
  <c r="M42" i="7"/>
  <c r="L42" i="7"/>
  <c r="Q41" i="7"/>
  <c r="O41" i="7"/>
  <c r="N41" i="7"/>
  <c r="M41" i="7"/>
  <c r="L41" i="7"/>
  <c r="Q40" i="7"/>
  <c r="O40" i="7"/>
  <c r="N40" i="7"/>
  <c r="M40" i="7"/>
  <c r="L40" i="7"/>
  <c r="Q39" i="7"/>
  <c r="O39" i="7"/>
  <c r="N39" i="7"/>
  <c r="M39" i="7"/>
  <c r="L39" i="7"/>
  <c r="C47" i="7"/>
  <c r="C46" i="7"/>
  <c r="C45" i="7"/>
  <c r="C44" i="7"/>
  <c r="C43" i="7"/>
  <c r="C42" i="7"/>
  <c r="C41" i="7"/>
  <c r="C40" i="7"/>
  <c r="C39" i="7"/>
  <c r="C38" i="7"/>
  <c r="C37" i="7"/>
  <c r="C36" i="7" l="1"/>
  <c r="J47" i="7" l="1"/>
  <c r="I47" i="7"/>
  <c r="H47" i="7"/>
  <c r="J46" i="7"/>
  <c r="I46" i="7"/>
  <c r="H46" i="7"/>
  <c r="J45" i="7"/>
  <c r="I45" i="7"/>
  <c r="H45" i="7"/>
  <c r="J44" i="7"/>
  <c r="I44" i="7"/>
  <c r="H44" i="7"/>
  <c r="J43" i="7"/>
  <c r="I43" i="7"/>
  <c r="H43" i="7"/>
  <c r="J42" i="7"/>
  <c r="I42" i="7"/>
  <c r="H42" i="7"/>
  <c r="J41" i="7"/>
  <c r="I41" i="7"/>
  <c r="H41" i="7"/>
  <c r="J40" i="7"/>
  <c r="I40" i="7"/>
  <c r="H40" i="7"/>
  <c r="J39" i="7"/>
  <c r="I39" i="7"/>
  <c r="H39" i="7"/>
  <c r="Q38" i="7"/>
  <c r="O38" i="7"/>
  <c r="N38" i="7"/>
  <c r="M38" i="7"/>
  <c r="L38" i="7"/>
  <c r="J38" i="7"/>
  <c r="I38" i="7"/>
  <c r="H38" i="7"/>
  <c r="Q37" i="7"/>
  <c r="O37" i="7"/>
  <c r="N37" i="7"/>
  <c r="M37" i="7"/>
  <c r="L37" i="7"/>
  <c r="J37" i="7"/>
  <c r="I37" i="7"/>
  <c r="H37" i="7"/>
  <c r="Q36" i="7"/>
  <c r="O36" i="7"/>
  <c r="N36" i="7"/>
  <c r="M36" i="7"/>
  <c r="L36" i="7"/>
  <c r="J36" i="7"/>
  <c r="I36" i="7"/>
  <c r="H36" i="7"/>
  <c r="D47" i="7"/>
  <c r="D46" i="7"/>
  <c r="D45" i="7"/>
  <c r="D44" i="7"/>
  <c r="D43" i="7"/>
  <c r="D42" i="7"/>
  <c r="D41" i="7"/>
  <c r="D40" i="7"/>
  <c r="D39" i="7"/>
  <c r="D38" i="7"/>
  <c r="D37" i="7"/>
  <c r="D36" i="7"/>
  <c r="I26" i="7" l="1"/>
  <c r="F48" i="8"/>
  <c r="E48" i="8"/>
  <c r="N48" i="8"/>
  <c r="M48" i="8"/>
  <c r="I48" i="8"/>
  <c r="H48" i="8"/>
  <c r="U26" i="8"/>
  <c r="T26" i="8"/>
  <c r="R26" i="8"/>
  <c r="O26" i="8"/>
  <c r="N26" i="8"/>
  <c r="M26" i="8"/>
  <c r="F26" i="8"/>
  <c r="I26" i="8" s="1"/>
  <c r="E26" i="8"/>
  <c r="D26" i="8"/>
  <c r="C26" i="8"/>
  <c r="W25" i="8"/>
  <c r="W24" i="8"/>
  <c r="W23" i="8"/>
  <c r="W22" i="8"/>
  <c r="W21" i="8"/>
  <c r="W19" i="8"/>
  <c r="W18" i="8"/>
  <c r="W17" i="8"/>
  <c r="W16" i="8"/>
  <c r="W15" i="8"/>
  <c r="W14" i="8"/>
  <c r="E28" i="8" l="1"/>
  <c r="F28" i="8"/>
  <c r="D28" i="8"/>
  <c r="C48" i="8"/>
  <c r="J48" i="8"/>
  <c r="O48" i="8"/>
  <c r="W26" i="8"/>
  <c r="D48" i="8"/>
  <c r="N50" i="8" s="1"/>
  <c r="L48" i="8"/>
  <c r="Q48" i="8"/>
  <c r="I22" i="7"/>
  <c r="Q50" i="8" l="1"/>
  <c r="I50" i="8"/>
  <c r="C50" i="8"/>
  <c r="L50" i="8"/>
  <c r="M50" i="8"/>
  <c r="D50" i="8"/>
  <c r="O50" i="8"/>
  <c r="H50" i="8"/>
  <c r="J50" i="8"/>
  <c r="T26" i="7" l="1"/>
  <c r="I15" i="7" l="1"/>
  <c r="I14" i="7" l="1"/>
  <c r="W15" i="7" l="1"/>
  <c r="W16" i="7"/>
  <c r="W17" i="7"/>
  <c r="W18" i="7"/>
  <c r="W19" i="7"/>
  <c r="W20" i="7"/>
  <c r="W21" i="7"/>
  <c r="W22" i="7"/>
  <c r="W23" i="7"/>
  <c r="W24" i="7"/>
  <c r="W25" i="7"/>
  <c r="W14" i="7"/>
  <c r="F48" i="7"/>
  <c r="E48" i="7"/>
  <c r="U26" i="7"/>
  <c r="R26" i="7"/>
  <c r="O26" i="7"/>
  <c r="N26" i="7"/>
  <c r="M26" i="7"/>
  <c r="F26" i="7"/>
  <c r="E26" i="7"/>
  <c r="D26" i="7"/>
  <c r="C26" i="7"/>
  <c r="H48" i="7" l="1"/>
  <c r="M48" i="7"/>
  <c r="J48" i="7"/>
  <c r="O48" i="7"/>
  <c r="E28" i="7"/>
  <c r="I48" i="7"/>
  <c r="N48" i="7"/>
  <c r="C48" i="7"/>
  <c r="W26" i="7"/>
  <c r="D28" i="7"/>
  <c r="F28" i="7"/>
  <c r="D48" i="7"/>
  <c r="L48" i="7"/>
  <c r="Q48" i="7"/>
  <c r="H50" i="7" l="1"/>
  <c r="L50" i="7"/>
  <c r="D50" i="7"/>
  <c r="M50" i="7"/>
  <c r="Q50" i="7"/>
  <c r="I50" i="7"/>
  <c r="C50" i="7"/>
  <c r="J50" i="7"/>
  <c r="N50" i="7"/>
  <c r="O50" i="7"/>
  <c r="I26" i="6" l="1"/>
  <c r="I25" i="6"/>
  <c r="I24" i="6" l="1"/>
  <c r="I23" i="6" l="1"/>
  <c r="I22" i="6" l="1"/>
  <c r="I21" i="6" l="1"/>
  <c r="I20" i="6" l="1"/>
  <c r="V19" i="6" l="1"/>
  <c r="I19" i="6"/>
  <c r="E48" i="6" l="1"/>
  <c r="Q47" i="6"/>
  <c r="O47" i="6"/>
  <c r="N47" i="6"/>
  <c r="M47" i="6"/>
  <c r="L47" i="6"/>
  <c r="J47" i="6"/>
  <c r="I47" i="6"/>
  <c r="H47" i="6"/>
  <c r="D47" i="6"/>
  <c r="C47" i="6"/>
  <c r="Q46" i="6"/>
  <c r="O46" i="6"/>
  <c r="N46" i="6"/>
  <c r="M46" i="6"/>
  <c r="L46" i="6"/>
  <c r="J46" i="6"/>
  <c r="I46" i="6"/>
  <c r="H46" i="6"/>
  <c r="D46" i="6"/>
  <c r="C46" i="6"/>
  <c r="Q45" i="6"/>
  <c r="O45" i="6"/>
  <c r="N45" i="6"/>
  <c r="M45" i="6"/>
  <c r="L45" i="6"/>
  <c r="J45" i="6"/>
  <c r="I45" i="6"/>
  <c r="H45" i="6"/>
  <c r="D45" i="6"/>
  <c r="C45" i="6"/>
  <c r="Q44" i="6"/>
  <c r="O44" i="6"/>
  <c r="N44" i="6"/>
  <c r="M44" i="6"/>
  <c r="L44" i="6"/>
  <c r="J44" i="6"/>
  <c r="I44" i="6"/>
  <c r="H44" i="6"/>
  <c r="D44" i="6"/>
  <c r="C44" i="6"/>
  <c r="Q43" i="6"/>
  <c r="O43" i="6"/>
  <c r="N43" i="6"/>
  <c r="M43" i="6"/>
  <c r="L43" i="6"/>
  <c r="J43" i="6"/>
  <c r="I43" i="6"/>
  <c r="H43" i="6"/>
  <c r="D43" i="6"/>
  <c r="C43" i="6"/>
  <c r="Q42" i="6"/>
  <c r="O42" i="6"/>
  <c r="N42" i="6"/>
  <c r="M42" i="6"/>
  <c r="L42" i="6"/>
  <c r="J42" i="6"/>
  <c r="I42" i="6"/>
  <c r="H42" i="6"/>
  <c r="D42" i="6"/>
  <c r="C42" i="6"/>
  <c r="Q41" i="6"/>
  <c r="O41" i="6"/>
  <c r="N41" i="6"/>
  <c r="M41" i="6"/>
  <c r="L41" i="6"/>
  <c r="J41" i="6"/>
  <c r="I41" i="6"/>
  <c r="H41" i="6"/>
  <c r="D41" i="6"/>
  <c r="C41" i="6"/>
  <c r="Q40" i="6"/>
  <c r="O40" i="6"/>
  <c r="N40" i="6"/>
  <c r="M40" i="6"/>
  <c r="L40" i="6"/>
  <c r="J40" i="6"/>
  <c r="I40" i="6"/>
  <c r="H40" i="6"/>
  <c r="D40" i="6"/>
  <c r="C40" i="6"/>
  <c r="Q39" i="6"/>
  <c r="O39" i="6"/>
  <c r="N39" i="6"/>
  <c r="M39" i="6"/>
  <c r="L39" i="6"/>
  <c r="J39" i="6"/>
  <c r="I39" i="6"/>
  <c r="H39" i="6"/>
  <c r="D39" i="6"/>
  <c r="C39" i="6"/>
  <c r="Q38" i="6"/>
  <c r="O38" i="6"/>
  <c r="N38" i="6"/>
  <c r="M38" i="6"/>
  <c r="L38" i="6"/>
  <c r="J38" i="6"/>
  <c r="I38" i="6"/>
  <c r="H38" i="6"/>
  <c r="D38" i="6"/>
  <c r="C38" i="6"/>
  <c r="Q37" i="6"/>
  <c r="O37" i="6"/>
  <c r="N37" i="6"/>
  <c r="M37" i="6"/>
  <c r="L37" i="6"/>
  <c r="J37" i="6"/>
  <c r="I37" i="6"/>
  <c r="H37" i="6"/>
  <c r="D37" i="6"/>
  <c r="C37" i="6"/>
  <c r="M36" i="6"/>
  <c r="M48" i="6" s="1"/>
  <c r="H36" i="6"/>
  <c r="Q36" i="6"/>
  <c r="D36" i="6"/>
  <c r="C36" i="6"/>
  <c r="C48" i="6" s="1"/>
  <c r="T26" i="6"/>
  <c r="R26" i="6"/>
  <c r="O26" i="6"/>
  <c r="N26" i="6"/>
  <c r="M26" i="6"/>
  <c r="F26" i="6"/>
  <c r="E26" i="6"/>
  <c r="D26" i="6"/>
  <c r="C26" i="6"/>
  <c r="V25" i="6"/>
  <c r="V24" i="6"/>
  <c r="V23" i="6"/>
  <c r="V22" i="6"/>
  <c r="V21" i="6"/>
  <c r="V20" i="6"/>
  <c r="V18" i="6"/>
  <c r="V17" i="6"/>
  <c r="V16" i="6"/>
  <c r="V15" i="6"/>
  <c r="V14" i="6"/>
  <c r="E28" i="6" l="1"/>
  <c r="H48" i="6"/>
  <c r="F28" i="6"/>
  <c r="D48" i="6"/>
  <c r="Q48" i="6"/>
  <c r="V26" i="6"/>
  <c r="C50" i="6" s="1"/>
  <c r="D28" i="6"/>
  <c r="I36" i="6"/>
  <c r="I48" i="6" s="1"/>
  <c r="N36" i="6"/>
  <c r="N48" i="6" s="1"/>
  <c r="F48" i="6"/>
  <c r="J36" i="6"/>
  <c r="J48" i="6" s="1"/>
  <c r="O36" i="6"/>
  <c r="O48" i="6" s="1"/>
  <c r="L36" i="6"/>
  <c r="L48" i="6" s="1"/>
  <c r="D47" i="5"/>
  <c r="C47" i="5"/>
  <c r="Q47" i="5"/>
  <c r="O47" i="5"/>
  <c r="N47" i="5"/>
  <c r="M47" i="5"/>
  <c r="L47" i="5"/>
  <c r="J47" i="5"/>
  <c r="I47" i="5"/>
  <c r="H47" i="5"/>
  <c r="J50" i="6" l="1"/>
  <c r="H50" i="6"/>
  <c r="L50" i="6"/>
  <c r="D50" i="6"/>
  <c r="O50" i="6"/>
  <c r="I50" i="6"/>
  <c r="Q50" i="6"/>
  <c r="M50" i="6"/>
  <c r="N50" i="6"/>
  <c r="Q46" i="5"/>
  <c r="O46" i="5"/>
  <c r="N46" i="5"/>
  <c r="M46" i="5"/>
  <c r="L46" i="5"/>
  <c r="J46" i="5"/>
  <c r="I46" i="5"/>
  <c r="H46" i="5"/>
  <c r="D46" i="5" l="1"/>
  <c r="C46" i="5"/>
  <c r="Q44" i="5" l="1"/>
  <c r="O44" i="5"/>
  <c r="N44" i="5"/>
  <c r="M44" i="5"/>
  <c r="L44" i="5"/>
  <c r="J44" i="5"/>
  <c r="I44" i="5"/>
  <c r="H44" i="5"/>
  <c r="D44" i="5"/>
  <c r="C44" i="5"/>
  <c r="Q43" i="5" l="1"/>
  <c r="O43" i="5"/>
  <c r="N43" i="5"/>
  <c r="M43" i="5"/>
  <c r="L43" i="5"/>
  <c r="J43" i="5"/>
  <c r="I43" i="5"/>
  <c r="H43" i="5"/>
  <c r="D43" i="5"/>
  <c r="C43" i="5"/>
  <c r="Q42" i="5" l="1"/>
  <c r="O42" i="5"/>
  <c r="N42" i="5"/>
  <c r="M42" i="5"/>
  <c r="L42" i="5"/>
  <c r="J42" i="5"/>
  <c r="I42" i="5"/>
  <c r="H42" i="5"/>
  <c r="D42" i="5"/>
  <c r="C42" i="5"/>
  <c r="V18" i="5" l="1"/>
  <c r="V19" i="5"/>
  <c r="V20" i="5"/>
  <c r="V21" i="5"/>
  <c r="V22" i="5"/>
  <c r="V23" i="5"/>
  <c r="V24" i="5"/>
  <c r="V25" i="5"/>
  <c r="V17" i="5"/>
  <c r="Q40" i="5" l="1"/>
  <c r="Q41" i="5"/>
  <c r="Q45" i="5"/>
  <c r="Q39" i="5"/>
  <c r="O40" i="5"/>
  <c r="O41" i="5"/>
  <c r="O45" i="5"/>
  <c r="O39" i="5"/>
  <c r="N40" i="5"/>
  <c r="N41" i="5"/>
  <c r="N45" i="5"/>
  <c r="N39" i="5"/>
  <c r="M40" i="5"/>
  <c r="M41" i="5"/>
  <c r="M45" i="5"/>
  <c r="M39" i="5"/>
  <c r="L40" i="5"/>
  <c r="L41" i="5"/>
  <c r="L45" i="5"/>
  <c r="L39" i="5"/>
  <c r="J40" i="5"/>
  <c r="J41" i="5"/>
  <c r="J45" i="5"/>
  <c r="J39" i="5"/>
  <c r="I40" i="5"/>
  <c r="I41" i="5"/>
  <c r="I45" i="5"/>
  <c r="I39" i="5"/>
  <c r="H40" i="5"/>
  <c r="H41" i="5"/>
  <c r="H45" i="5"/>
  <c r="H39" i="5"/>
  <c r="D40" i="5"/>
  <c r="D41" i="5"/>
  <c r="D45" i="5"/>
  <c r="D39" i="5"/>
  <c r="C40" i="5"/>
  <c r="C41" i="5"/>
  <c r="C45" i="5"/>
  <c r="C39" i="5"/>
  <c r="T26" i="5"/>
  <c r="F36" i="5" l="1"/>
  <c r="T25" i="4" l="1"/>
  <c r="E48" i="5" l="1"/>
  <c r="Q38" i="5"/>
  <c r="O38" i="5"/>
  <c r="N38" i="5"/>
  <c r="M38" i="5"/>
  <c r="L38" i="5"/>
  <c r="J38" i="5"/>
  <c r="I38" i="5"/>
  <c r="H38" i="5"/>
  <c r="D38" i="5"/>
  <c r="C38" i="5"/>
  <c r="Q37" i="5"/>
  <c r="O37" i="5"/>
  <c r="N37" i="5"/>
  <c r="M37" i="5"/>
  <c r="L37" i="5"/>
  <c r="J37" i="5"/>
  <c r="I37" i="5"/>
  <c r="H37" i="5"/>
  <c r="D37" i="5"/>
  <c r="C37" i="5"/>
  <c r="Q36" i="5"/>
  <c r="O36" i="5"/>
  <c r="N36" i="5"/>
  <c r="M36" i="5"/>
  <c r="L36" i="5"/>
  <c r="J36" i="5"/>
  <c r="I36" i="5"/>
  <c r="H36" i="5"/>
  <c r="D36" i="5"/>
  <c r="C36" i="5"/>
  <c r="R26" i="5"/>
  <c r="O26" i="5"/>
  <c r="N26" i="5"/>
  <c r="M26" i="5"/>
  <c r="F26" i="5"/>
  <c r="E26" i="5"/>
  <c r="D26" i="5"/>
  <c r="C26" i="5"/>
  <c r="V16" i="5"/>
  <c r="V15" i="5"/>
  <c r="V14" i="5"/>
  <c r="C48" i="5" l="1"/>
  <c r="O48" i="5"/>
  <c r="J48" i="5"/>
  <c r="D48" i="5"/>
  <c r="V26" i="5"/>
  <c r="D28" i="5"/>
  <c r="E28" i="5"/>
  <c r="O28" i="5"/>
  <c r="F28" i="5"/>
  <c r="N48" i="5"/>
  <c r="Q48" i="5"/>
  <c r="F48" i="5"/>
  <c r="H48" i="5"/>
  <c r="M48" i="5"/>
  <c r="I48" i="5"/>
  <c r="C46" i="4"/>
  <c r="D46" i="4"/>
  <c r="H46" i="4"/>
  <c r="I46" i="4"/>
  <c r="J46" i="4"/>
  <c r="L46" i="4"/>
  <c r="M46" i="4"/>
  <c r="N46" i="4"/>
  <c r="O46" i="4"/>
  <c r="Q46" i="4"/>
  <c r="T24" i="4"/>
  <c r="C50" i="5" l="1"/>
  <c r="J50" i="5"/>
  <c r="I50" i="5"/>
  <c r="D50" i="5"/>
  <c r="M50" i="5"/>
  <c r="L48" i="5"/>
  <c r="L50" i="5" s="1"/>
  <c r="Q50" i="5"/>
  <c r="H50" i="5"/>
  <c r="O50" i="5"/>
  <c r="N50" i="5"/>
  <c r="F45" i="4"/>
  <c r="T23" i="4" l="1"/>
  <c r="E48" i="4" l="1"/>
  <c r="Q47" i="4"/>
  <c r="O47" i="4"/>
  <c r="N47" i="4"/>
  <c r="M47" i="4"/>
  <c r="L47" i="4"/>
  <c r="J47" i="4"/>
  <c r="I47" i="4"/>
  <c r="H47" i="4"/>
  <c r="D47" i="4"/>
  <c r="C47" i="4"/>
  <c r="Q45" i="4"/>
  <c r="O45" i="4"/>
  <c r="N45" i="4"/>
  <c r="M45" i="4"/>
  <c r="L45" i="4"/>
  <c r="J45" i="4"/>
  <c r="I45" i="4"/>
  <c r="H45" i="4"/>
  <c r="D45" i="4"/>
  <c r="C45" i="4"/>
  <c r="F44" i="4"/>
  <c r="O44" i="4" s="1"/>
  <c r="D44" i="4"/>
  <c r="C44" i="4"/>
  <c r="Q43" i="4"/>
  <c r="O43" i="4"/>
  <c r="N43" i="4"/>
  <c r="M43" i="4"/>
  <c r="L43" i="4"/>
  <c r="J43" i="4"/>
  <c r="I43" i="4"/>
  <c r="H43" i="4"/>
  <c r="D43" i="4"/>
  <c r="C43" i="4"/>
  <c r="Q42" i="4"/>
  <c r="O42" i="4"/>
  <c r="N42" i="4"/>
  <c r="M42" i="4"/>
  <c r="L42" i="4"/>
  <c r="J42" i="4"/>
  <c r="I42" i="4"/>
  <c r="H42" i="4"/>
  <c r="D42" i="4"/>
  <c r="C42" i="4"/>
  <c r="Q41" i="4"/>
  <c r="O41" i="4"/>
  <c r="N41" i="4"/>
  <c r="M41" i="4"/>
  <c r="L41" i="4"/>
  <c r="J41" i="4"/>
  <c r="I41" i="4"/>
  <c r="H41" i="4"/>
  <c r="D41" i="4"/>
  <c r="C41" i="4"/>
  <c r="Q40" i="4"/>
  <c r="O40" i="4"/>
  <c r="N40" i="4"/>
  <c r="M40" i="4"/>
  <c r="L40" i="4"/>
  <c r="J40" i="4"/>
  <c r="I40" i="4"/>
  <c r="H40" i="4"/>
  <c r="D40" i="4"/>
  <c r="C40" i="4"/>
  <c r="Q39" i="4"/>
  <c r="O39" i="4"/>
  <c r="N39" i="4"/>
  <c r="M39" i="4"/>
  <c r="L39" i="4"/>
  <c r="J39" i="4"/>
  <c r="I39" i="4"/>
  <c r="H39" i="4"/>
  <c r="D39" i="4"/>
  <c r="C39" i="4"/>
  <c r="Q38" i="4"/>
  <c r="O38" i="4"/>
  <c r="N38" i="4"/>
  <c r="M38" i="4"/>
  <c r="L38" i="4"/>
  <c r="J38" i="4"/>
  <c r="I38" i="4"/>
  <c r="H38" i="4"/>
  <c r="D38" i="4"/>
  <c r="C38" i="4"/>
  <c r="Q37" i="4"/>
  <c r="O37" i="4"/>
  <c r="N37" i="4"/>
  <c r="M37" i="4"/>
  <c r="L37" i="4"/>
  <c r="J37" i="4"/>
  <c r="I37" i="4"/>
  <c r="H37" i="4"/>
  <c r="D37" i="4"/>
  <c r="C37" i="4"/>
  <c r="Q36" i="4"/>
  <c r="O36" i="4"/>
  <c r="N36" i="4"/>
  <c r="M36" i="4"/>
  <c r="L36" i="4"/>
  <c r="J36" i="4"/>
  <c r="I36" i="4"/>
  <c r="H36" i="4"/>
  <c r="D36" i="4"/>
  <c r="C36" i="4"/>
  <c r="R26" i="4"/>
  <c r="O26" i="4"/>
  <c r="N26" i="4"/>
  <c r="M26" i="4"/>
  <c r="F26" i="4"/>
  <c r="E26" i="4"/>
  <c r="C26" i="4"/>
  <c r="T22" i="4"/>
  <c r="T21" i="4"/>
  <c r="T20" i="4"/>
  <c r="T19" i="4"/>
  <c r="T18" i="4"/>
  <c r="T17" i="4"/>
  <c r="T16" i="4"/>
  <c r="T15" i="4"/>
  <c r="T14" i="4"/>
  <c r="D14" i="4"/>
  <c r="D26" i="4" s="1"/>
  <c r="O28" i="4" l="1"/>
  <c r="T26" i="4"/>
  <c r="O48" i="4"/>
  <c r="D48" i="4"/>
  <c r="C48" i="4"/>
  <c r="D28" i="4"/>
  <c r="E28" i="4"/>
  <c r="F28" i="4"/>
  <c r="L44" i="4"/>
  <c r="L48" i="4" s="1"/>
  <c r="Q44" i="4"/>
  <c r="Q48" i="4" s="1"/>
  <c r="H44" i="4"/>
  <c r="H48" i="4" s="1"/>
  <c r="M44" i="4"/>
  <c r="M48" i="4" s="1"/>
  <c r="I44" i="4"/>
  <c r="I48" i="4" s="1"/>
  <c r="N44" i="4"/>
  <c r="N48" i="4" s="1"/>
  <c r="F48" i="4"/>
  <c r="J44" i="4"/>
  <c r="J48" i="4" s="1"/>
  <c r="F47" i="2"/>
  <c r="N47" i="2" s="1"/>
  <c r="E47" i="2"/>
  <c r="D47" i="2"/>
  <c r="F46" i="2"/>
  <c r="N46" i="2" s="1"/>
  <c r="E46" i="2"/>
  <c r="D46" i="2"/>
  <c r="F45" i="2"/>
  <c r="N45" i="2" s="1"/>
  <c r="E45" i="2"/>
  <c r="D45" i="2"/>
  <c r="Q44" i="2"/>
  <c r="O44" i="2"/>
  <c r="N44" i="2"/>
  <c r="M44" i="2"/>
  <c r="L44" i="2"/>
  <c r="J44" i="2"/>
  <c r="I44" i="2"/>
  <c r="H44" i="2"/>
  <c r="E44" i="2"/>
  <c r="D44" i="2"/>
  <c r="Q43" i="2"/>
  <c r="O43" i="2"/>
  <c r="N43" i="2"/>
  <c r="M43" i="2"/>
  <c r="L43" i="2"/>
  <c r="J43" i="2"/>
  <c r="I43" i="2"/>
  <c r="H43" i="2"/>
  <c r="E43" i="2"/>
  <c r="D43" i="2"/>
  <c r="Q42" i="2"/>
  <c r="O42" i="2"/>
  <c r="N42" i="2"/>
  <c r="M42" i="2"/>
  <c r="L42" i="2"/>
  <c r="J42" i="2"/>
  <c r="I42" i="2"/>
  <c r="H42" i="2"/>
  <c r="E42" i="2"/>
  <c r="D42" i="2"/>
  <c r="Q41" i="2"/>
  <c r="O41" i="2"/>
  <c r="N41" i="2"/>
  <c r="M41" i="2"/>
  <c r="L41" i="2"/>
  <c r="J41" i="2"/>
  <c r="I41" i="2"/>
  <c r="H41" i="2"/>
  <c r="E41" i="2"/>
  <c r="D41" i="2"/>
  <c r="Q40" i="2"/>
  <c r="O40" i="2"/>
  <c r="N40" i="2"/>
  <c r="M40" i="2"/>
  <c r="L40" i="2"/>
  <c r="J40" i="2"/>
  <c r="I40" i="2"/>
  <c r="H40" i="2"/>
  <c r="E40" i="2"/>
  <c r="D40" i="2"/>
  <c r="Q39" i="2"/>
  <c r="O39" i="2"/>
  <c r="N39" i="2"/>
  <c r="M39" i="2"/>
  <c r="L39" i="2"/>
  <c r="J39" i="2"/>
  <c r="I39" i="2"/>
  <c r="H39" i="2"/>
  <c r="E39" i="2"/>
  <c r="D39" i="2"/>
  <c r="Q38" i="2"/>
  <c r="O38" i="2"/>
  <c r="N38" i="2"/>
  <c r="M38" i="2"/>
  <c r="L38" i="2"/>
  <c r="J38" i="2"/>
  <c r="I38" i="2"/>
  <c r="H38" i="2"/>
  <c r="E38" i="2"/>
  <c r="D38" i="2"/>
  <c r="Q37" i="2"/>
  <c r="O37" i="2"/>
  <c r="N37" i="2"/>
  <c r="M37" i="2"/>
  <c r="L37" i="2"/>
  <c r="J37" i="2"/>
  <c r="I37" i="2"/>
  <c r="H37" i="2"/>
  <c r="E37" i="2"/>
  <c r="D37" i="2"/>
  <c r="Q36" i="2"/>
  <c r="O36" i="2"/>
  <c r="N36" i="2"/>
  <c r="M36" i="2"/>
  <c r="L36" i="2"/>
  <c r="J36" i="2"/>
  <c r="I36" i="2"/>
  <c r="H36" i="2"/>
  <c r="E36" i="2"/>
  <c r="D36" i="2"/>
  <c r="R26" i="2"/>
  <c r="O26" i="2"/>
  <c r="N26" i="2"/>
  <c r="M26" i="2"/>
  <c r="H26" i="2"/>
  <c r="F26" i="2"/>
  <c r="E26" i="2"/>
  <c r="D26" i="2"/>
  <c r="C26" i="2"/>
  <c r="T25" i="2"/>
  <c r="C47" i="2" s="1"/>
  <c r="T24" i="2"/>
  <c r="C46" i="2" s="1"/>
  <c r="T23" i="2"/>
  <c r="C45" i="2" s="1"/>
  <c r="T22" i="2"/>
  <c r="C44" i="2" s="1"/>
  <c r="T21" i="2"/>
  <c r="C43" i="2" s="1"/>
  <c r="T20" i="2"/>
  <c r="C42" i="2" s="1"/>
  <c r="T19" i="2"/>
  <c r="C41" i="2" s="1"/>
  <c r="T18" i="2"/>
  <c r="C40" i="2" s="1"/>
  <c r="T17" i="2"/>
  <c r="C39" i="2" s="1"/>
  <c r="T16" i="2"/>
  <c r="C38" i="2" s="1"/>
  <c r="T15" i="2"/>
  <c r="C37" i="2" s="1"/>
  <c r="T14" i="2"/>
  <c r="C36" i="2" s="1"/>
  <c r="O28" i="2" l="1"/>
  <c r="O45" i="2"/>
  <c r="D50" i="4"/>
  <c r="J45" i="2"/>
  <c r="C50" i="4"/>
  <c r="J46" i="2"/>
  <c r="E28" i="2"/>
  <c r="H28" i="2"/>
  <c r="E48" i="2"/>
  <c r="O46" i="2"/>
  <c r="J47" i="2"/>
  <c r="D28" i="2"/>
  <c r="D48" i="2"/>
  <c r="O47" i="2"/>
  <c r="O48" i="2" s="1"/>
  <c r="H50" i="4"/>
  <c r="O50" i="4"/>
  <c r="I50" i="4"/>
  <c r="L50" i="4"/>
  <c r="J50" i="4"/>
  <c r="M50" i="4"/>
  <c r="Q50" i="4"/>
  <c r="N50" i="4"/>
  <c r="C48" i="2"/>
  <c r="D50" i="2" s="1"/>
  <c r="N48" i="2"/>
  <c r="F28" i="2"/>
  <c r="T26" i="2"/>
  <c r="L45" i="2"/>
  <c r="Q45" i="2"/>
  <c r="L46" i="2"/>
  <c r="Q46" i="2"/>
  <c r="L47" i="2"/>
  <c r="Q47" i="2"/>
  <c r="F48" i="2"/>
  <c r="H45" i="2"/>
  <c r="M45" i="2"/>
  <c r="H46" i="2"/>
  <c r="M46" i="2"/>
  <c r="H47" i="2"/>
  <c r="M47" i="2"/>
  <c r="I45" i="2"/>
  <c r="I46" i="2"/>
  <c r="I47" i="2"/>
  <c r="J48" i="2" l="1"/>
  <c r="M48" i="2"/>
  <c r="M50" i="2" s="1"/>
  <c r="H48" i="2"/>
  <c r="J50" i="2"/>
  <c r="I48" i="2"/>
  <c r="I50" i="2" s="1"/>
  <c r="Q48" i="2"/>
  <c r="Q50" i="2" s="1"/>
  <c r="L48" i="2"/>
  <c r="L50" i="2" s="1"/>
  <c r="H50" i="2"/>
  <c r="O50" i="2"/>
  <c r="E50" i="2"/>
  <c r="N50" i="2"/>
</calcChain>
</file>

<file path=xl/sharedStrings.xml><?xml version="1.0" encoding="utf-8"?>
<sst xmlns="http://schemas.openxmlformats.org/spreadsheetml/2006/main" count="762" uniqueCount="85">
  <si>
    <t>Tioga Downs Casino</t>
  </si>
  <si>
    <t>2384 West River Rd</t>
  </si>
  <si>
    <t>Nichols, NY 13812</t>
  </si>
  <si>
    <t>www.tiogadowns.com</t>
  </si>
  <si>
    <t>(888) 946-8464</t>
  </si>
  <si>
    <t>Total Gross Gaming Revenue (GGR) - Fiscal Year 2018/2019</t>
  </si>
  <si>
    <t>Slot/ETG's</t>
  </si>
  <si>
    <t>Table Games</t>
  </si>
  <si>
    <t>Poker Tables</t>
  </si>
  <si>
    <t>Promotional</t>
  </si>
  <si>
    <t xml:space="preserve"> </t>
  </si>
  <si>
    <t>Avg Daily</t>
  </si>
  <si>
    <t>Credits</t>
  </si>
  <si>
    <t>Slot Gaming</t>
  </si>
  <si>
    <t>Slot &amp; ETG</t>
  </si>
  <si>
    <t>Slots &amp;</t>
  </si>
  <si>
    <t>Win/Unit</t>
  </si>
  <si>
    <t>Table Game</t>
  </si>
  <si>
    <t>Poker Table</t>
  </si>
  <si>
    <t>Month</t>
  </si>
  <si>
    <t>Played</t>
  </si>
  <si>
    <t>Won</t>
  </si>
  <si>
    <t>GGR</t>
  </si>
  <si>
    <t>ETG's</t>
  </si>
  <si>
    <t>per Day</t>
  </si>
  <si>
    <t>Tables</t>
  </si>
  <si>
    <t>Drop</t>
  </si>
  <si>
    <t>Total GGR</t>
  </si>
  <si>
    <t>Total</t>
  </si>
  <si>
    <t>Distribution of Total Gross Gaming Revenue per Legislation</t>
  </si>
  <si>
    <t>Distribution of Gaming Tax</t>
  </si>
  <si>
    <t>Education/</t>
  </si>
  <si>
    <t>Host Muni</t>
  </si>
  <si>
    <t>Host County</t>
  </si>
  <si>
    <t>Net Revenue</t>
  </si>
  <si>
    <t>Unclaimed</t>
  </si>
  <si>
    <t xml:space="preserve">Adjustments </t>
  </si>
  <si>
    <t>Property Tax</t>
  </si>
  <si>
    <t>Town of</t>
  </si>
  <si>
    <t>Tioga</t>
  </si>
  <si>
    <t>Non-host Counties within the Region</t>
  </si>
  <si>
    <t>to Operator</t>
  </si>
  <si>
    <t>Gaming Tax</t>
  </si>
  <si>
    <t>Funds</t>
  </si>
  <si>
    <t>Fines &amp; Penalties</t>
  </si>
  <si>
    <t>Relief</t>
  </si>
  <si>
    <t>Nichols</t>
  </si>
  <si>
    <t>County</t>
  </si>
  <si>
    <t>Broome</t>
  </si>
  <si>
    <t>Chemung</t>
  </si>
  <si>
    <t>Schuyler</t>
  </si>
  <si>
    <t>Tompkins</t>
  </si>
  <si>
    <t>Wayne</t>
  </si>
  <si>
    <t>Notes:</t>
  </si>
  <si>
    <t xml:space="preserve">1) The gaming tax of 37% on Slot/ETG revenue and 10% on Table Game revenue is allocated 80% to Education/Property Tax Relief, 10% split equally between the host municipality </t>
  </si>
  <si>
    <t xml:space="preserve">   and host county, and 10% split among non-host counties within the region on a per capita basis. Only the population east of Route 14 is used in the calculation of payments</t>
  </si>
  <si>
    <t xml:space="preserve">   made to Chemung, Schuyler and Wayne counties. Seneca County is the host county for del Lago and therefore ineligible to receive non-host distributions from Tioga Downs Casino.</t>
  </si>
  <si>
    <t>2) Distributions to municipalities and counties are made by the Gaming Commission on a quarterly basis.</t>
  </si>
  <si>
    <t>3) Adjustments, Fines, and Penalties are comprised of gaming tax audit adjustments, fines, and penalties due to the Commercial Gaming Revenue Fund pursuant to Racing, Pari-Mutuel Wagering and Breeding Law.</t>
  </si>
  <si>
    <t xml:space="preserve"> Fines due to OASAS are not included in these figures. </t>
  </si>
  <si>
    <t>4) The minimum number of table games in each facility license is verified by combining the total Average Daily Tables &amp; Average Daily Poker Tables on a weekly basis. Fluctuations may occur.</t>
  </si>
  <si>
    <t>Total Gross Gaming Revenue (GGR) - Fiscal Year 2017/2018</t>
  </si>
  <si>
    <t xml:space="preserve">Progressive </t>
  </si>
  <si>
    <t>Adjustment</t>
  </si>
  <si>
    <t xml:space="preserve">3) Adjustments are comprised of unclaimed funds pursuant to PML §1345 and gaming tax audit adjustments in which the adjustment occurs subsequent to the close of the month in which the event </t>
  </si>
  <si>
    <t xml:space="preserve">    occured. Fines and penalties are comprised of amounts received in the period. Fines distributed to OASAS are not included in these figures. </t>
  </si>
  <si>
    <t>Total Gross Gaming Revenue (GGR) - Fiscal Year 2016/2017</t>
  </si>
  <si>
    <t>GGR After Tax</t>
  </si>
  <si>
    <t>Report compiled by the New York State Gaming Commission based on data provided by Tioga Downs Casino</t>
  </si>
  <si>
    <t>Total Gross Gaming Revenue (GGR) - Fiscal Year 2019/2020</t>
  </si>
  <si>
    <t>Sports Wagering</t>
  </si>
  <si>
    <t xml:space="preserve">Sports Wagering </t>
  </si>
  <si>
    <t xml:space="preserve">1) The gaming tax of 37% on Slot/ETG revenue and 10% on Table Game and Sports Wagering revenue is allocated 80% to Education/Property Tax Relief, 10% split equally between the host municipality </t>
  </si>
  <si>
    <t xml:space="preserve"> Funds due to OASAS are not included in these figures. </t>
  </si>
  <si>
    <t>5) Sports wagering gross gaming revenue is reported on a cash basis in New York State. Wagers on future events are taxed as current revenue and payouts for winning wagers are recognized in the period redeemed.</t>
  </si>
  <si>
    <t>Total Gross Gaming Revenue (GGR) - Fiscal Year 2020/2021</t>
  </si>
  <si>
    <t>Total Gross Gaming Revenue (GGR) - Fiscal Year 2021/2022</t>
  </si>
  <si>
    <t>Sports</t>
  </si>
  <si>
    <t>Wagering</t>
  </si>
  <si>
    <t>Handle</t>
  </si>
  <si>
    <t>Total Gross Gaming Revenue (GGR) - Fiscal Year 2022/2023</t>
  </si>
  <si>
    <t xml:space="preserve">1) The gaming tax of 34.5% on Slot/ETG revenue and 10% on Table Game and Sports Wagering revenue is allocated 80% to Education/Property Tax Relief, 10% split equally between the host municipality </t>
  </si>
  <si>
    <t>Total Gross Gaming Revenue (GGR) - Fiscal Year 2023/2024</t>
  </si>
  <si>
    <t xml:space="preserve">1) The gaming tax of 30% on Slot/ETG revenue and 10% on Table Game and Sports Wagering revenue is allocated 80% to Education/Property Tax Relief, 10% split equally between the host municipality </t>
  </si>
  <si>
    <t>Total Gross Gaming Revenue (GGR) - Fiscal Year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</si>
</sst>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164" formatCode="[$-409]mmm\-yy;@"/>
    <numFmt numFmtId="165" formatCode=";;;"/>
    <numFmt numFmtId="166" formatCode="0.00%_);[Red]\(0.00%\)"/>
    <numFmt numFmtId="167" formatCode="0_);\(0\)"/>
  </numFmts>
  <fonts count="14" x14ac:knownFonts="1">
    <font>
      <sz val="11"/>
      <color theme="1"/>
      <name val="Calibri"/>
      <family val="2"/>
      <scheme val="minor"/>
    </font>
    <font>
      <b/>
      <sz val="14"/>
      <name val="Arial"/>
      <family val="2"/>
    </font>
    <font>
      <sz val="12"/>
      <name val="Arial"/>
      <family val="2"/>
    </font>
    <font>
      <u/>
      <sz val="10"/>
      <color indexed="12"/>
      <name val="Arial"/>
      <family val="2"/>
    </font>
    <font>
      <u/>
      <sz val="11"/>
      <color indexed="12"/>
      <name val="Arial"/>
      <family val="2"/>
    </font>
    <font>
      <sz val="11"/>
      <name val="Arial"/>
      <family val="2"/>
    </font>
    <font>
      <b/>
      <sz val="11"/>
      <color theme="0"/>
      <name val="Arial"/>
      <family val="2"/>
    </font>
    <font>
      <b/>
      <sz val="10"/>
      <name val="Arial"/>
      <family val="2"/>
    </font>
    <font>
      <sz val="9"/>
      <name val="Arial"/>
      <family val="2"/>
    </font>
    <font>
      <b/>
      <sz val="9"/>
      <name val="Arial"/>
      <family val="2"/>
    </font>
    <font>
      <i/>
      <u/>
      <sz val="10"/>
      <name val="Arial"/>
      <family val="2"/>
    </font>
    <font>
      <sz val="10"/>
      <name val="Arial"/>
      <family val="2"/>
    </font>
    <font>
      <sz val="11"/>
      <color rgb="FF1F497D"/>
      <name val="Calibri"/>
      <family val="2"/>
      <scheme val="minor"/>
    </font>
    <font>
      <i/>
      <sz val="11"/>
      <color theme="1"/>
      <name val="Calibri"/>
      <family val="2"/>
      <scheme val="minor"/>
    </font>
  </fonts>
  <fills count="3">
    <fill>
      <patternFill patternType="none"/>
    </fill>
    <fill>
      <patternFill patternType="gray125"/>
    </fill>
    <fill>
      <patternFill patternType="solid">
        <fgColor theme="3" tint="0.39997558519241921"/>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7">
    <xf numFmtId="0" fontId="0" fillId="0" borderId="0" xfId="0"/>
    <xf numFmtId="0" fontId="0" fillId="0" borderId="0" xfId="0" applyAlignment="1"/>
    <xf numFmtId="0" fontId="0" fillId="0" borderId="0" xfId="0" applyAlignment="1">
      <alignment horizontal="center"/>
    </xf>
    <xf numFmtId="6" fontId="5" fillId="0" borderId="0" xfId="0" applyNumberFormat="1" applyFont="1" applyAlignment="1">
      <alignment horizontal="center"/>
    </xf>
    <xf numFmtId="164" fontId="0" fillId="0" borderId="0" xfId="0" applyNumberFormat="1" applyAlignment="1">
      <alignment horizontal="center"/>
    </xf>
    <xf numFmtId="6" fontId="0" fillId="0" borderId="0" xfId="0" applyNumberFormat="1" applyAlignment="1">
      <alignment horizontal="left"/>
    </xf>
    <xf numFmtId="6" fontId="0" fillId="0" borderId="0" xfId="0" applyNumberFormat="1" applyAlignment="1">
      <alignment horizontal="center"/>
    </xf>
    <xf numFmtId="38" fontId="0" fillId="0" borderId="0" xfId="0" applyNumberFormat="1" applyAlignment="1">
      <alignment horizontal="center"/>
    </xf>
    <xf numFmtId="0" fontId="5" fillId="0" borderId="0" xfId="0" applyFont="1" applyAlignment="1">
      <alignment horizontal="center"/>
    </xf>
    <xf numFmtId="164" fontId="7" fillId="0" borderId="0" xfId="0" applyNumberFormat="1" applyFont="1" applyAlignment="1">
      <alignment horizontal="center"/>
    </xf>
    <xf numFmtId="6" fontId="7" fillId="0" borderId="4" xfId="0" applyNumberFormat="1" applyFont="1" applyBorder="1" applyAlignment="1">
      <alignment horizontal="center"/>
    </xf>
    <xf numFmtId="6" fontId="7" fillId="0" borderId="0" xfId="0" applyNumberFormat="1" applyFont="1" applyAlignment="1">
      <alignment horizontal="center"/>
    </xf>
    <xf numFmtId="6" fontId="7" fillId="0" borderId="0" xfId="0" applyNumberFormat="1" applyFont="1" applyBorder="1" applyAlignment="1"/>
    <xf numFmtId="0" fontId="7" fillId="0" borderId="0" xfId="0" applyFont="1" applyAlignment="1">
      <alignment horizontal="center"/>
    </xf>
    <xf numFmtId="164" fontId="8" fillId="0" borderId="0" xfId="0" applyNumberFormat="1" applyFont="1" applyAlignment="1">
      <alignment horizontal="center"/>
    </xf>
    <xf numFmtId="6" fontId="8" fillId="0" borderId="0" xfId="0" applyNumberFormat="1" applyFont="1" applyAlignment="1">
      <alignment horizontal="center"/>
    </xf>
    <xf numFmtId="6" fontId="9" fillId="0" borderId="0" xfId="0" applyNumberFormat="1" applyFont="1" applyAlignment="1">
      <alignment horizontal="center"/>
    </xf>
    <xf numFmtId="38" fontId="9" fillId="0" borderId="0" xfId="0" applyNumberFormat="1" applyFont="1" applyAlignment="1">
      <alignment horizontal="center"/>
    </xf>
    <xf numFmtId="0" fontId="8" fillId="0" borderId="0" xfId="0" applyFont="1" applyAlignment="1">
      <alignment horizontal="center"/>
    </xf>
    <xf numFmtId="164" fontId="9" fillId="0" borderId="0" xfId="0" applyNumberFormat="1" applyFont="1" applyAlignment="1">
      <alignment horizontal="center"/>
    </xf>
    <xf numFmtId="6" fontId="9" fillId="0" borderId="0" xfId="0" applyNumberFormat="1" applyFont="1" applyBorder="1" applyAlignment="1">
      <alignment horizontal="center"/>
    </xf>
    <xf numFmtId="0" fontId="9" fillId="0" borderId="0" xfId="0" applyFont="1" applyAlignment="1">
      <alignment horizontal="center"/>
    </xf>
    <xf numFmtId="164" fontId="9" fillId="0" borderId="5" xfId="0" applyNumberFormat="1" applyFont="1" applyBorder="1" applyAlignment="1">
      <alignment horizontal="center"/>
    </xf>
    <xf numFmtId="6" fontId="9" fillId="0" borderId="5" xfId="0" applyNumberFormat="1" applyFont="1" applyBorder="1" applyAlignment="1">
      <alignment horizontal="center"/>
    </xf>
    <xf numFmtId="38" fontId="9" fillId="0" borderId="5" xfId="0" applyNumberFormat="1" applyFont="1" applyBorder="1" applyAlignment="1">
      <alignment horizontal="center"/>
    </xf>
    <xf numFmtId="0" fontId="9" fillId="0" borderId="0" xfId="0" applyFont="1" applyBorder="1" applyAlignment="1">
      <alignment horizontal="center"/>
    </xf>
    <xf numFmtId="5" fontId="0" fillId="0" borderId="0" xfId="0" applyNumberFormat="1" applyAlignment="1"/>
    <xf numFmtId="37" fontId="0" fillId="0" borderId="0" xfId="0" applyNumberFormat="1" applyAlignment="1"/>
    <xf numFmtId="6" fontId="0" fillId="0" borderId="0" xfId="0" applyNumberFormat="1" applyAlignment="1"/>
    <xf numFmtId="0" fontId="0" fillId="0" borderId="0" xfId="0" applyNumberFormat="1" applyAlignment="1"/>
    <xf numFmtId="165" fontId="0" fillId="0" borderId="0" xfId="0" applyNumberFormat="1" applyAlignment="1"/>
    <xf numFmtId="5" fontId="0" fillId="0" borderId="6" xfId="0" applyNumberFormat="1" applyBorder="1" applyAlignment="1"/>
    <xf numFmtId="37" fontId="0" fillId="0" borderId="6" xfId="0" applyNumberFormat="1" applyBorder="1" applyAlignment="1"/>
    <xf numFmtId="5" fontId="0" fillId="0" borderId="0" xfId="0" applyNumberFormat="1" applyBorder="1" applyAlignment="1"/>
    <xf numFmtId="5" fontId="0" fillId="0" borderId="0" xfId="0" applyNumberFormat="1" applyFill="1" applyAlignment="1"/>
    <xf numFmtId="37" fontId="0" fillId="0" borderId="6" xfId="0" applyNumberFormat="1" applyFill="1" applyBorder="1" applyAlignment="1"/>
    <xf numFmtId="6" fontId="0" fillId="0" borderId="0" xfId="0" applyNumberFormat="1" applyBorder="1" applyAlignment="1"/>
    <xf numFmtId="38" fontId="0" fillId="0" borderId="0" xfId="0" applyNumberFormat="1" applyAlignment="1"/>
    <xf numFmtId="38" fontId="0" fillId="0" borderId="0" xfId="0" applyNumberFormat="1" applyBorder="1" applyAlignment="1"/>
    <xf numFmtId="166" fontId="0" fillId="0" borderId="0" xfId="0" applyNumberFormat="1" applyAlignment="1">
      <alignment horizontal="center"/>
    </xf>
    <xf numFmtId="166" fontId="0" fillId="0" borderId="0" xfId="0" applyNumberFormat="1" applyBorder="1" applyAlignment="1"/>
    <xf numFmtId="10" fontId="0" fillId="0" borderId="0" xfId="0" applyNumberFormat="1" applyFill="1" applyBorder="1" applyAlignment="1"/>
    <xf numFmtId="166" fontId="0" fillId="0" borderId="0" xfId="0" applyNumberFormat="1" applyAlignment="1"/>
    <xf numFmtId="164" fontId="7" fillId="0" borderId="0" xfId="0" applyNumberFormat="1" applyFont="1" applyFill="1" applyBorder="1" applyAlignment="1">
      <alignment horizontal="center"/>
    </xf>
    <xf numFmtId="166" fontId="0" fillId="0" borderId="0" xfId="0" applyNumberFormat="1" applyFill="1" applyAlignment="1"/>
    <xf numFmtId="164" fontId="7" fillId="0" borderId="0" xfId="0" applyNumberFormat="1" applyFont="1" applyFill="1" applyBorder="1" applyAlignment="1"/>
    <xf numFmtId="166" fontId="9" fillId="0" borderId="0" xfId="0" applyNumberFormat="1" applyFont="1" applyAlignment="1">
      <alignment horizontal="center"/>
    </xf>
    <xf numFmtId="166" fontId="9" fillId="0" borderId="0" xfId="0" applyNumberFormat="1" applyFont="1" applyBorder="1" applyAlignment="1">
      <alignment horizontal="center"/>
    </xf>
    <xf numFmtId="166" fontId="9" fillId="0" borderId="0" xfId="0" applyNumberFormat="1" applyFont="1" applyFill="1" applyBorder="1" applyAlignment="1"/>
    <xf numFmtId="166" fontId="9" fillId="0" borderId="5" xfId="0" applyNumberFormat="1" applyFont="1" applyBorder="1" applyAlignment="1">
      <alignment horizontal="center"/>
    </xf>
    <xf numFmtId="166" fontId="9" fillId="0" borderId="2" xfId="0" applyNumberFormat="1" applyFont="1" applyBorder="1" applyAlignment="1">
      <alignment horizontal="center"/>
    </xf>
    <xf numFmtId="6" fontId="0" fillId="0" borderId="6" xfId="0" applyNumberFormat="1" applyBorder="1" applyAlignment="1"/>
    <xf numFmtId="166" fontId="10" fillId="0" borderId="0" xfId="0" applyNumberFormat="1" applyFont="1" applyAlignment="1">
      <alignment horizontal="left"/>
    </xf>
    <xf numFmtId="166" fontId="11" fillId="0" borderId="0" xfId="0" applyNumberFormat="1" applyFont="1" applyAlignment="1">
      <alignment horizontal="left"/>
    </xf>
    <xf numFmtId="166" fontId="11" fillId="0" borderId="0" xfId="0" applyNumberFormat="1" applyFont="1" applyAlignment="1"/>
    <xf numFmtId="164" fontId="0" fillId="0" borderId="0" xfId="0" applyNumberFormat="1" applyAlignment="1">
      <alignment horizontal="center" wrapText="1"/>
    </xf>
    <xf numFmtId="6" fontId="0" fillId="0" borderId="0" xfId="0" applyNumberFormat="1" applyAlignment="1">
      <alignment wrapText="1"/>
    </xf>
    <xf numFmtId="38" fontId="0" fillId="0" borderId="0" xfId="0" applyNumberFormat="1" applyAlignment="1">
      <alignment wrapText="1"/>
    </xf>
    <xf numFmtId="0" fontId="12" fillId="0" borderId="0" xfId="0" applyFont="1"/>
    <xf numFmtId="0" fontId="0" fillId="0" borderId="0" xfId="0" applyNumberFormat="1" applyBorder="1" applyAlignment="1"/>
    <xf numFmtId="166" fontId="9" fillId="0" borderId="7" xfId="0" applyNumberFormat="1" applyFont="1" applyBorder="1" applyAlignment="1">
      <alignment horizontal="center"/>
    </xf>
    <xf numFmtId="166" fontId="0" fillId="0" borderId="7" xfId="0" applyNumberFormat="1" applyBorder="1" applyAlignment="1"/>
    <xf numFmtId="166" fontId="0" fillId="0" borderId="6" xfId="0" applyNumberFormat="1" applyBorder="1" applyAlignment="1"/>
    <xf numFmtId="166" fontId="9" fillId="0" borderId="5" xfId="0" applyNumberFormat="1" applyFont="1" applyBorder="1" applyAlignment="1">
      <alignment horizontal="center"/>
    </xf>
    <xf numFmtId="6" fontId="5" fillId="0" borderId="0" xfId="0" applyNumberFormat="1" applyFont="1" applyAlignment="1">
      <alignment horizontal="center"/>
    </xf>
    <xf numFmtId="0" fontId="13" fillId="0" borderId="0" xfId="0" applyFont="1"/>
    <xf numFmtId="6" fontId="5" fillId="0" borderId="0" xfId="0" applyNumberFormat="1" applyFont="1" applyAlignment="1">
      <alignment horizontal="center"/>
    </xf>
    <xf numFmtId="6" fontId="7" fillId="0" borderId="0" xfId="0" applyNumberFormat="1" applyFont="1" applyBorder="1" applyAlignment="1">
      <alignment horizontal="center"/>
    </xf>
    <xf numFmtId="6" fontId="7" fillId="0" borderId="8" xfId="0" applyNumberFormat="1" applyFont="1" applyBorder="1" applyAlignment="1">
      <alignment horizontal="center"/>
    </xf>
    <xf numFmtId="166" fontId="9" fillId="0" borderId="5" xfId="0" applyNumberFormat="1" applyFont="1" applyBorder="1" applyAlignment="1">
      <alignment horizontal="center"/>
    </xf>
    <xf numFmtId="6" fontId="5" fillId="0" borderId="0" xfId="0" applyNumberFormat="1" applyFont="1" applyAlignment="1">
      <alignment horizontal="center"/>
    </xf>
    <xf numFmtId="166" fontId="9" fillId="0" borderId="5" xfId="0" applyNumberFormat="1" applyFont="1" applyBorder="1" applyAlignment="1">
      <alignment horizontal="center"/>
    </xf>
    <xf numFmtId="6" fontId="5" fillId="0" borderId="0" xfId="0" applyNumberFormat="1" applyFont="1" applyAlignment="1">
      <alignment horizontal="center"/>
    </xf>
    <xf numFmtId="6" fontId="5" fillId="0" borderId="0" xfId="0" applyNumberFormat="1" applyFont="1" applyAlignment="1">
      <alignment horizontal="center"/>
    </xf>
    <xf numFmtId="166" fontId="9" fillId="0" borderId="5" xfId="0" applyNumberFormat="1" applyFont="1" applyBorder="1" applyAlignment="1">
      <alignment horizontal="center"/>
    </xf>
    <xf numFmtId="6" fontId="5" fillId="0" borderId="0" xfId="0" applyNumberFormat="1" applyFont="1" applyAlignment="1">
      <alignment horizontal="center"/>
    </xf>
    <xf numFmtId="6" fontId="5" fillId="0" borderId="0" xfId="0" applyNumberFormat="1" applyFont="1" applyAlignment="1">
      <alignment horizontal="center"/>
    </xf>
    <xf numFmtId="166" fontId="9" fillId="0" borderId="5" xfId="0" applyNumberFormat="1" applyFont="1" applyBorder="1" applyAlignment="1">
      <alignment horizontal="center"/>
    </xf>
    <xf numFmtId="5" fontId="0" fillId="0" borderId="6" xfId="0" applyNumberFormat="1" applyBorder="1"/>
    <xf numFmtId="167" fontId="0" fillId="0" borderId="0" xfId="0" applyNumberFormat="1"/>
    <xf numFmtId="5" fontId="0" fillId="0" borderId="0" xfId="0" applyNumberFormat="1"/>
    <xf numFmtId="166" fontId="9" fillId="0" borderId="5" xfId="0" applyNumberFormat="1" applyFont="1" applyBorder="1" applyAlignment="1">
      <alignment horizontal="center"/>
    </xf>
    <xf numFmtId="6" fontId="5" fillId="0" borderId="0" xfId="0" applyNumberFormat="1" applyFont="1" applyAlignment="1">
      <alignment horizontal="center"/>
    </xf>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3" xfId="0" applyNumberFormat="1" applyFont="1" applyFill="1" applyBorder="1" applyAlignment="1">
      <alignment horizontal="center"/>
    </xf>
    <xf numFmtId="6" fontId="1" fillId="0" borderId="0" xfId="0" applyNumberFormat="1" applyFont="1" applyAlignment="1">
      <alignment horizontal="center"/>
    </xf>
    <xf numFmtId="6" fontId="2" fillId="0" borderId="0" xfId="0" applyNumberFormat="1" applyFont="1" applyAlignment="1">
      <alignment horizontal="center"/>
    </xf>
    <xf numFmtId="6" fontId="4" fillId="0" borderId="0" xfId="1" applyNumberFormat="1" applyFont="1" applyAlignment="1" applyProtection="1">
      <alignment horizontal="center"/>
    </xf>
    <xf numFmtId="6" fontId="5" fillId="0" borderId="0" xfId="0" applyNumberFormat="1" applyFont="1" applyAlignment="1">
      <alignment horizontal="center"/>
    </xf>
    <xf numFmtId="166" fontId="9" fillId="0" borderId="5" xfId="0" applyNumberFormat="1" applyFont="1" applyBorder="1" applyAlignment="1">
      <alignment horizontal="center"/>
    </xf>
    <xf numFmtId="6" fontId="7" fillId="0" borderId="1" xfId="0" applyNumberFormat="1" applyFont="1" applyBorder="1" applyAlignment="1">
      <alignment horizontal="center"/>
    </xf>
    <xf numFmtId="6" fontId="7" fillId="0" borderId="2" xfId="0" applyNumberFormat="1" applyFont="1" applyBorder="1" applyAlignment="1">
      <alignment horizontal="center"/>
    </xf>
    <xf numFmtId="6" fontId="7" fillId="0" borderId="3" xfId="0" applyNumberFormat="1" applyFont="1" applyBorder="1" applyAlignment="1">
      <alignment horizontal="center"/>
    </xf>
    <xf numFmtId="164" fontId="7" fillId="0" borderId="1" xfId="0" applyNumberFormat="1" applyFont="1" applyFill="1" applyBorder="1" applyAlignment="1">
      <alignment horizontal="center"/>
    </xf>
    <xf numFmtId="164" fontId="7" fillId="0" borderId="2" xfId="0" applyNumberFormat="1" applyFont="1" applyFill="1" applyBorder="1" applyAlignment="1">
      <alignment horizontal="center"/>
    </xf>
    <xf numFmtId="164" fontId="7" fillId="0" borderId="3"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3</xdr:col>
      <xdr:colOff>659607</xdr:colOff>
      <xdr:row>4</xdr:row>
      <xdr:rowOff>114300</xdr:rowOff>
    </xdr:to>
    <xdr:pic>
      <xdr:nvPicPr>
        <xdr:cNvPr id="2" name="Picture 2">
          <a:extLst>
            <a:ext uri="{FF2B5EF4-FFF2-40B4-BE49-F238E27FC236}">
              <a16:creationId xmlns:a16="http://schemas.microsoft.com/office/drawing/2014/main" id="{BEB04EDE-8CEF-41E6-B3B8-07B8CA0BBD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95250"/>
          <a:ext cx="1688307"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3</xdr:col>
      <xdr:colOff>659607</xdr:colOff>
      <xdr:row>4</xdr:row>
      <xdr:rowOff>114300</xdr:rowOff>
    </xdr:to>
    <xdr:pic>
      <xdr:nvPicPr>
        <xdr:cNvPr id="2" name="Picture 2">
          <a:extLst>
            <a:ext uri="{FF2B5EF4-FFF2-40B4-BE49-F238E27FC236}">
              <a16:creationId xmlns:a16="http://schemas.microsoft.com/office/drawing/2014/main" id="{2F029662-0977-454E-9F23-44679C7554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95250"/>
          <a:ext cx="1688307"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3</xdr:col>
      <xdr:colOff>659607</xdr:colOff>
      <xdr:row>4</xdr:row>
      <xdr:rowOff>114300</xdr:rowOff>
    </xdr:to>
    <xdr:pic>
      <xdr:nvPicPr>
        <xdr:cNvPr id="2" name="Picture 2">
          <a:extLst>
            <a:ext uri="{FF2B5EF4-FFF2-40B4-BE49-F238E27FC236}">
              <a16:creationId xmlns:a16="http://schemas.microsoft.com/office/drawing/2014/main" id="{45F3EB80-C628-4AD2-B57F-2D3CD0A1C1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95250"/>
          <a:ext cx="1688307"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3</xdr:col>
      <xdr:colOff>659607</xdr:colOff>
      <xdr:row>4</xdr:row>
      <xdr:rowOff>114300</xdr:rowOff>
    </xdr:to>
    <xdr:pic>
      <xdr:nvPicPr>
        <xdr:cNvPr id="2" name="Picture 2">
          <a:extLst>
            <a:ext uri="{FF2B5EF4-FFF2-40B4-BE49-F238E27FC236}">
              <a16:creationId xmlns:a16="http://schemas.microsoft.com/office/drawing/2014/main" id="{561DAA02-8403-4AF5-B780-57F8D869E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95250"/>
          <a:ext cx="1688307"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3</xdr:col>
      <xdr:colOff>659607</xdr:colOff>
      <xdr:row>4</xdr:row>
      <xdr:rowOff>114300</xdr:rowOff>
    </xdr:to>
    <xdr:pic>
      <xdr:nvPicPr>
        <xdr:cNvPr id="2" name="Picture 2">
          <a:extLst>
            <a:ext uri="{FF2B5EF4-FFF2-40B4-BE49-F238E27FC236}">
              <a16:creationId xmlns:a16="http://schemas.microsoft.com/office/drawing/2014/main" id="{44A6A8FC-ABE9-4EA1-834B-C1433B9082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95250"/>
          <a:ext cx="1688307"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3</xdr:col>
      <xdr:colOff>659607</xdr:colOff>
      <xdr:row>4</xdr:row>
      <xdr:rowOff>114300</xdr:rowOff>
    </xdr:to>
    <xdr:pic>
      <xdr:nvPicPr>
        <xdr:cNvPr id="2" name="Picture 2">
          <a:extLst>
            <a:ext uri="{FF2B5EF4-FFF2-40B4-BE49-F238E27FC236}">
              <a16:creationId xmlns:a16="http://schemas.microsoft.com/office/drawing/2014/main" id="{9C67D302-6973-47E0-BCC5-E91C6B334E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 y="95250"/>
          <a:ext cx="1712595" cy="81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3</xdr:col>
      <xdr:colOff>742950</xdr:colOff>
      <xdr:row>4</xdr:row>
      <xdr:rowOff>114300</xdr:rowOff>
    </xdr:to>
    <xdr:pic>
      <xdr:nvPicPr>
        <xdr:cNvPr id="2" name="Picture 2">
          <a:extLst>
            <a:ext uri="{FF2B5EF4-FFF2-40B4-BE49-F238E27FC236}">
              <a16:creationId xmlns:a16="http://schemas.microsoft.com/office/drawing/2014/main" id="{5BF3DEEF-ECFB-4DA3-BC66-B60D963B1F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 y="95250"/>
          <a:ext cx="1712595" cy="81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3</xdr:col>
      <xdr:colOff>742950</xdr:colOff>
      <xdr:row>4</xdr:row>
      <xdr:rowOff>114300</xdr:rowOff>
    </xdr:to>
    <xdr:pic>
      <xdr:nvPicPr>
        <xdr:cNvPr id="2" name="Picture 2">
          <a:extLst>
            <a:ext uri="{FF2B5EF4-FFF2-40B4-BE49-F238E27FC236}">
              <a16:creationId xmlns:a16="http://schemas.microsoft.com/office/drawing/2014/main" id="{03FEC08A-5E55-438F-BEE5-FC81CBE13D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 y="95250"/>
          <a:ext cx="1712595" cy="81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3</xdr:col>
      <xdr:colOff>742950</xdr:colOff>
      <xdr:row>4</xdr:row>
      <xdr:rowOff>114300</xdr:rowOff>
    </xdr:to>
    <xdr:pic>
      <xdr:nvPicPr>
        <xdr:cNvPr id="2" name="Picture 2">
          <a:extLst>
            <a:ext uri="{FF2B5EF4-FFF2-40B4-BE49-F238E27FC236}">
              <a16:creationId xmlns:a16="http://schemas.microsoft.com/office/drawing/2014/main" id="{72E92A0E-6CDA-44EF-B71F-3A3A9C1070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655" y="95250"/>
          <a:ext cx="1712595" cy="811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iogadowns.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iogadown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tiogadowns.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tiogadowns.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tiogadowns.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tiogadowns.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tiogadowns.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tiogadowns.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tiogadow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DF7C6-430C-439A-9DB9-DB5BA650333A}">
  <sheetPr>
    <pageSetUpPr fitToPage="1"/>
  </sheetPr>
  <dimension ref="A1:W68"/>
  <sheetViews>
    <sheetView tabSelected="1" zoomScaleNormal="100" workbookViewId="0">
      <selection activeCell="I26" sqref="I26"/>
    </sheetView>
  </sheetViews>
  <sheetFormatPr defaultRowHeight="15" x14ac:dyDescent="0.25"/>
  <cols>
    <col min="1" max="1" width="9.28515625" style="4" customWidth="1"/>
    <col min="2" max="2" width="1.7109375" style="4" customWidth="1"/>
    <col min="3" max="3" width="14.140625" style="28" customWidth="1"/>
    <col min="4" max="4" width="13.140625" style="28" customWidth="1"/>
    <col min="5" max="5" width="14.140625" style="28" customWidth="1"/>
    <col min="6" max="6" width="15.85546875" style="28" customWidth="1"/>
    <col min="7" max="7" width="1.85546875" style="28" customWidth="1"/>
    <col min="8" max="8" width="14.28515625" style="28" customWidth="1"/>
    <col min="9" max="9" width="11.85546875" style="37" customWidth="1"/>
    <col min="10" max="10" width="11.5703125" style="28" customWidth="1"/>
    <col min="11" max="11" width="1.140625" style="28" customWidth="1"/>
    <col min="12" max="12" width="11.85546875" style="28" customWidth="1"/>
    <col min="13" max="13" width="12.7109375" style="28" customWidth="1"/>
    <col min="14" max="14" width="11.5703125" style="28" customWidth="1"/>
    <col min="15" max="15" width="12.42578125" style="28" customWidth="1"/>
    <col min="16" max="16" width="3.7109375" style="28" customWidth="1"/>
    <col min="17" max="17" width="11.42578125" style="28" customWidth="1"/>
    <col min="18" max="18" width="12.140625" style="28" customWidth="1"/>
    <col min="19" max="19" width="3.7109375" style="28" customWidth="1"/>
    <col min="20" max="20" width="14.7109375" style="28" customWidth="1"/>
    <col min="21" max="21" width="12.28515625" style="28" customWidth="1"/>
    <col min="22" max="22" width="3.7109375" style="1" customWidth="1"/>
    <col min="23" max="23" width="14.28515625" style="1" customWidth="1"/>
    <col min="24" max="24" width="9.85546875" style="1" customWidth="1"/>
    <col min="25" max="260" width="9.140625" style="1"/>
    <col min="261" max="261" width="9.28515625" style="1" customWidth="1"/>
    <col min="262" max="262" width="1.7109375" style="1" customWidth="1"/>
    <col min="263" max="266" width="12" style="1" customWidth="1"/>
    <col min="267" max="267" width="11.85546875" style="1" customWidth="1"/>
    <col min="268" max="268" width="10.7109375" style="1" customWidth="1"/>
    <col min="269" max="269" width="10.5703125" style="1" customWidth="1"/>
    <col min="270" max="270" width="1.140625" style="1" customWidth="1"/>
    <col min="271" max="271" width="11.28515625" style="1" customWidth="1"/>
    <col min="272" max="272" width="12.7109375" style="1" customWidth="1"/>
    <col min="273" max="273" width="11.5703125" style="1" customWidth="1"/>
    <col min="274" max="274" width="12.42578125" style="1" customWidth="1"/>
    <col min="275" max="275" width="1.5703125" style="1" customWidth="1"/>
    <col min="276" max="276" width="11.42578125" style="1" customWidth="1"/>
    <col min="277" max="277" width="12.140625" style="1" customWidth="1"/>
    <col min="278" max="278" width="1.7109375" style="1" customWidth="1"/>
    <col min="279" max="279" width="13.5703125" style="1" customWidth="1"/>
    <col min="280" max="516" width="9.140625" style="1"/>
    <col min="517" max="517" width="9.28515625" style="1" customWidth="1"/>
    <col min="518" max="518" width="1.7109375" style="1" customWidth="1"/>
    <col min="519" max="522" width="12" style="1" customWidth="1"/>
    <col min="523" max="523" width="11.85546875" style="1" customWidth="1"/>
    <col min="524" max="524" width="10.7109375" style="1" customWidth="1"/>
    <col min="525" max="525" width="10.5703125" style="1" customWidth="1"/>
    <col min="526" max="526" width="1.140625" style="1" customWidth="1"/>
    <col min="527" max="527" width="11.28515625" style="1" customWidth="1"/>
    <col min="528" max="528" width="12.7109375" style="1" customWidth="1"/>
    <col min="529" max="529" width="11.5703125" style="1" customWidth="1"/>
    <col min="530" max="530" width="12.42578125" style="1" customWidth="1"/>
    <col min="531" max="531" width="1.5703125" style="1" customWidth="1"/>
    <col min="532" max="532" width="11.42578125" style="1" customWidth="1"/>
    <col min="533" max="533" width="12.140625" style="1" customWidth="1"/>
    <col min="534" max="534" width="1.7109375" style="1" customWidth="1"/>
    <col min="535" max="535" width="13.5703125" style="1" customWidth="1"/>
    <col min="536" max="772" width="9.140625" style="1"/>
    <col min="773" max="773" width="9.28515625" style="1" customWidth="1"/>
    <col min="774" max="774" width="1.7109375" style="1" customWidth="1"/>
    <col min="775" max="778" width="12" style="1" customWidth="1"/>
    <col min="779" max="779" width="11.85546875" style="1" customWidth="1"/>
    <col min="780" max="780" width="10.7109375" style="1" customWidth="1"/>
    <col min="781" max="781" width="10.5703125" style="1" customWidth="1"/>
    <col min="782" max="782" width="1.140625" style="1" customWidth="1"/>
    <col min="783" max="783" width="11.28515625" style="1" customWidth="1"/>
    <col min="784" max="784" width="12.7109375" style="1" customWidth="1"/>
    <col min="785" max="785" width="11.5703125" style="1" customWidth="1"/>
    <col min="786" max="786" width="12.42578125" style="1" customWidth="1"/>
    <col min="787" max="787" width="1.5703125" style="1" customWidth="1"/>
    <col min="788" max="788" width="11.42578125" style="1" customWidth="1"/>
    <col min="789" max="789" width="12.140625" style="1" customWidth="1"/>
    <col min="790" max="790" width="1.7109375" style="1" customWidth="1"/>
    <col min="791" max="791" width="13.5703125" style="1" customWidth="1"/>
    <col min="792" max="1028" width="9.140625" style="1"/>
    <col min="1029" max="1029" width="9.28515625" style="1" customWidth="1"/>
    <col min="1030" max="1030" width="1.7109375" style="1" customWidth="1"/>
    <col min="1031" max="1034" width="12" style="1" customWidth="1"/>
    <col min="1035" max="1035" width="11.85546875" style="1" customWidth="1"/>
    <col min="1036" max="1036" width="10.7109375" style="1" customWidth="1"/>
    <col min="1037" max="1037" width="10.5703125" style="1" customWidth="1"/>
    <col min="1038" max="1038" width="1.140625" style="1" customWidth="1"/>
    <col min="1039" max="1039" width="11.28515625" style="1" customWidth="1"/>
    <col min="1040" max="1040" width="12.7109375" style="1" customWidth="1"/>
    <col min="1041" max="1041" width="11.5703125" style="1" customWidth="1"/>
    <col min="1042" max="1042" width="12.42578125" style="1" customWidth="1"/>
    <col min="1043" max="1043" width="1.5703125" style="1" customWidth="1"/>
    <col min="1044" max="1044" width="11.42578125" style="1" customWidth="1"/>
    <col min="1045" max="1045" width="12.140625" style="1" customWidth="1"/>
    <col min="1046" max="1046" width="1.7109375" style="1" customWidth="1"/>
    <col min="1047" max="1047" width="13.5703125" style="1" customWidth="1"/>
    <col min="1048" max="1284" width="9.140625" style="1"/>
    <col min="1285" max="1285" width="9.28515625" style="1" customWidth="1"/>
    <col min="1286" max="1286" width="1.7109375" style="1" customWidth="1"/>
    <col min="1287" max="1290" width="12" style="1" customWidth="1"/>
    <col min="1291" max="1291" width="11.85546875" style="1" customWidth="1"/>
    <col min="1292" max="1292" width="10.7109375" style="1" customWidth="1"/>
    <col min="1293" max="1293" width="10.5703125" style="1" customWidth="1"/>
    <col min="1294" max="1294" width="1.140625" style="1" customWidth="1"/>
    <col min="1295" max="1295" width="11.28515625" style="1" customWidth="1"/>
    <col min="1296" max="1296" width="12.7109375" style="1" customWidth="1"/>
    <col min="1297" max="1297" width="11.5703125" style="1" customWidth="1"/>
    <col min="1298" max="1298" width="12.42578125" style="1" customWidth="1"/>
    <col min="1299" max="1299" width="1.5703125" style="1" customWidth="1"/>
    <col min="1300" max="1300" width="11.42578125" style="1" customWidth="1"/>
    <col min="1301" max="1301" width="12.140625" style="1" customWidth="1"/>
    <col min="1302" max="1302" width="1.7109375" style="1" customWidth="1"/>
    <col min="1303" max="1303" width="13.5703125" style="1" customWidth="1"/>
    <col min="1304" max="1540" width="9.140625" style="1"/>
    <col min="1541" max="1541" width="9.28515625" style="1" customWidth="1"/>
    <col min="1542" max="1542" width="1.7109375" style="1" customWidth="1"/>
    <col min="1543" max="1546" width="12" style="1" customWidth="1"/>
    <col min="1547" max="1547" width="11.85546875" style="1" customWidth="1"/>
    <col min="1548" max="1548" width="10.7109375" style="1" customWidth="1"/>
    <col min="1549" max="1549" width="10.5703125" style="1" customWidth="1"/>
    <col min="1550" max="1550" width="1.140625" style="1" customWidth="1"/>
    <col min="1551" max="1551" width="11.28515625" style="1" customWidth="1"/>
    <col min="1552" max="1552" width="12.7109375" style="1" customWidth="1"/>
    <col min="1553" max="1553" width="11.5703125" style="1" customWidth="1"/>
    <col min="1554" max="1554" width="12.42578125" style="1" customWidth="1"/>
    <col min="1555" max="1555" width="1.5703125" style="1" customWidth="1"/>
    <col min="1556" max="1556" width="11.42578125" style="1" customWidth="1"/>
    <col min="1557" max="1557" width="12.140625" style="1" customWidth="1"/>
    <col min="1558" max="1558" width="1.7109375" style="1" customWidth="1"/>
    <col min="1559" max="1559" width="13.5703125" style="1" customWidth="1"/>
    <col min="1560" max="1796" width="9.140625" style="1"/>
    <col min="1797" max="1797" width="9.28515625" style="1" customWidth="1"/>
    <col min="1798" max="1798" width="1.7109375" style="1" customWidth="1"/>
    <col min="1799" max="1802" width="12" style="1" customWidth="1"/>
    <col min="1803" max="1803" width="11.85546875" style="1" customWidth="1"/>
    <col min="1804" max="1804" width="10.7109375" style="1" customWidth="1"/>
    <col min="1805" max="1805" width="10.5703125" style="1" customWidth="1"/>
    <col min="1806" max="1806" width="1.140625" style="1" customWidth="1"/>
    <col min="1807" max="1807" width="11.28515625" style="1" customWidth="1"/>
    <col min="1808" max="1808" width="12.7109375" style="1" customWidth="1"/>
    <col min="1809" max="1809" width="11.5703125" style="1" customWidth="1"/>
    <col min="1810" max="1810" width="12.42578125" style="1" customWidth="1"/>
    <col min="1811" max="1811" width="1.5703125" style="1" customWidth="1"/>
    <col min="1812" max="1812" width="11.42578125" style="1" customWidth="1"/>
    <col min="1813" max="1813" width="12.140625" style="1" customWidth="1"/>
    <col min="1814" max="1814" width="1.7109375" style="1" customWidth="1"/>
    <col min="1815" max="1815" width="13.5703125" style="1" customWidth="1"/>
    <col min="1816" max="2052" width="9.140625" style="1"/>
    <col min="2053" max="2053" width="9.28515625" style="1" customWidth="1"/>
    <col min="2054" max="2054" width="1.7109375" style="1" customWidth="1"/>
    <col min="2055" max="2058" width="12" style="1" customWidth="1"/>
    <col min="2059" max="2059" width="11.85546875" style="1" customWidth="1"/>
    <col min="2060" max="2060" width="10.7109375" style="1" customWidth="1"/>
    <col min="2061" max="2061" width="10.5703125" style="1" customWidth="1"/>
    <col min="2062" max="2062" width="1.140625" style="1" customWidth="1"/>
    <col min="2063" max="2063" width="11.28515625" style="1" customWidth="1"/>
    <col min="2064" max="2064" width="12.7109375" style="1" customWidth="1"/>
    <col min="2065" max="2065" width="11.5703125" style="1" customWidth="1"/>
    <col min="2066" max="2066" width="12.42578125" style="1" customWidth="1"/>
    <col min="2067" max="2067" width="1.5703125" style="1" customWidth="1"/>
    <col min="2068" max="2068" width="11.42578125" style="1" customWidth="1"/>
    <col min="2069" max="2069" width="12.140625" style="1" customWidth="1"/>
    <col min="2070" max="2070" width="1.7109375" style="1" customWidth="1"/>
    <col min="2071" max="2071" width="13.5703125" style="1" customWidth="1"/>
    <col min="2072" max="2308" width="9.140625" style="1"/>
    <col min="2309" max="2309" width="9.28515625" style="1" customWidth="1"/>
    <col min="2310" max="2310" width="1.7109375" style="1" customWidth="1"/>
    <col min="2311" max="2314" width="12" style="1" customWidth="1"/>
    <col min="2315" max="2315" width="11.85546875" style="1" customWidth="1"/>
    <col min="2316" max="2316" width="10.7109375" style="1" customWidth="1"/>
    <col min="2317" max="2317" width="10.5703125" style="1" customWidth="1"/>
    <col min="2318" max="2318" width="1.140625" style="1" customWidth="1"/>
    <col min="2319" max="2319" width="11.28515625" style="1" customWidth="1"/>
    <col min="2320" max="2320" width="12.7109375" style="1" customWidth="1"/>
    <col min="2321" max="2321" width="11.5703125" style="1" customWidth="1"/>
    <col min="2322" max="2322" width="12.42578125" style="1" customWidth="1"/>
    <col min="2323" max="2323" width="1.5703125" style="1" customWidth="1"/>
    <col min="2324" max="2324" width="11.42578125" style="1" customWidth="1"/>
    <col min="2325" max="2325" width="12.140625" style="1" customWidth="1"/>
    <col min="2326" max="2326" width="1.7109375" style="1" customWidth="1"/>
    <col min="2327" max="2327" width="13.5703125" style="1" customWidth="1"/>
    <col min="2328" max="2564" width="9.140625" style="1"/>
    <col min="2565" max="2565" width="9.28515625" style="1" customWidth="1"/>
    <col min="2566" max="2566" width="1.7109375" style="1" customWidth="1"/>
    <col min="2567" max="2570" width="12" style="1" customWidth="1"/>
    <col min="2571" max="2571" width="11.85546875" style="1" customWidth="1"/>
    <col min="2572" max="2572" width="10.7109375" style="1" customWidth="1"/>
    <col min="2573" max="2573" width="10.5703125" style="1" customWidth="1"/>
    <col min="2574" max="2574" width="1.140625" style="1" customWidth="1"/>
    <col min="2575" max="2575" width="11.28515625" style="1" customWidth="1"/>
    <col min="2576" max="2576" width="12.7109375" style="1" customWidth="1"/>
    <col min="2577" max="2577" width="11.5703125" style="1" customWidth="1"/>
    <col min="2578" max="2578" width="12.42578125" style="1" customWidth="1"/>
    <col min="2579" max="2579" width="1.5703125" style="1" customWidth="1"/>
    <col min="2580" max="2580" width="11.42578125" style="1" customWidth="1"/>
    <col min="2581" max="2581" width="12.140625" style="1" customWidth="1"/>
    <col min="2582" max="2582" width="1.7109375" style="1" customWidth="1"/>
    <col min="2583" max="2583" width="13.5703125" style="1" customWidth="1"/>
    <col min="2584" max="2820" width="9.140625" style="1"/>
    <col min="2821" max="2821" width="9.28515625" style="1" customWidth="1"/>
    <col min="2822" max="2822" width="1.7109375" style="1" customWidth="1"/>
    <col min="2823" max="2826" width="12" style="1" customWidth="1"/>
    <col min="2827" max="2827" width="11.85546875" style="1" customWidth="1"/>
    <col min="2828" max="2828" width="10.7109375" style="1" customWidth="1"/>
    <col min="2829" max="2829" width="10.5703125" style="1" customWidth="1"/>
    <col min="2830" max="2830" width="1.140625" style="1" customWidth="1"/>
    <col min="2831" max="2831" width="11.28515625" style="1" customWidth="1"/>
    <col min="2832" max="2832" width="12.7109375" style="1" customWidth="1"/>
    <col min="2833" max="2833" width="11.5703125" style="1" customWidth="1"/>
    <col min="2834" max="2834" width="12.42578125" style="1" customWidth="1"/>
    <col min="2835" max="2835" width="1.5703125" style="1" customWidth="1"/>
    <col min="2836" max="2836" width="11.42578125" style="1" customWidth="1"/>
    <col min="2837" max="2837" width="12.140625" style="1" customWidth="1"/>
    <col min="2838" max="2838" width="1.7109375" style="1" customWidth="1"/>
    <col min="2839" max="2839" width="13.5703125" style="1" customWidth="1"/>
    <col min="2840" max="3076" width="9.140625" style="1"/>
    <col min="3077" max="3077" width="9.28515625" style="1" customWidth="1"/>
    <col min="3078" max="3078" width="1.7109375" style="1" customWidth="1"/>
    <col min="3079" max="3082" width="12" style="1" customWidth="1"/>
    <col min="3083" max="3083" width="11.85546875" style="1" customWidth="1"/>
    <col min="3084" max="3084" width="10.7109375" style="1" customWidth="1"/>
    <col min="3085" max="3085" width="10.5703125" style="1" customWidth="1"/>
    <col min="3086" max="3086" width="1.140625" style="1" customWidth="1"/>
    <col min="3087" max="3087" width="11.28515625" style="1" customWidth="1"/>
    <col min="3088" max="3088" width="12.7109375" style="1" customWidth="1"/>
    <col min="3089" max="3089" width="11.5703125" style="1" customWidth="1"/>
    <col min="3090" max="3090" width="12.42578125" style="1" customWidth="1"/>
    <col min="3091" max="3091" width="1.5703125" style="1" customWidth="1"/>
    <col min="3092" max="3092" width="11.42578125" style="1" customWidth="1"/>
    <col min="3093" max="3093" width="12.140625" style="1" customWidth="1"/>
    <col min="3094" max="3094" width="1.7109375" style="1" customWidth="1"/>
    <col min="3095" max="3095" width="13.5703125" style="1" customWidth="1"/>
    <col min="3096" max="3332" width="9.140625" style="1"/>
    <col min="3333" max="3333" width="9.28515625" style="1" customWidth="1"/>
    <col min="3334" max="3334" width="1.7109375" style="1" customWidth="1"/>
    <col min="3335" max="3338" width="12" style="1" customWidth="1"/>
    <col min="3339" max="3339" width="11.85546875" style="1" customWidth="1"/>
    <col min="3340" max="3340" width="10.7109375" style="1" customWidth="1"/>
    <col min="3341" max="3341" width="10.5703125" style="1" customWidth="1"/>
    <col min="3342" max="3342" width="1.140625" style="1" customWidth="1"/>
    <col min="3343" max="3343" width="11.28515625" style="1" customWidth="1"/>
    <col min="3344" max="3344" width="12.7109375" style="1" customWidth="1"/>
    <col min="3345" max="3345" width="11.5703125" style="1" customWidth="1"/>
    <col min="3346" max="3346" width="12.42578125" style="1" customWidth="1"/>
    <col min="3347" max="3347" width="1.5703125" style="1" customWidth="1"/>
    <col min="3348" max="3348" width="11.42578125" style="1" customWidth="1"/>
    <col min="3349" max="3349" width="12.140625" style="1" customWidth="1"/>
    <col min="3350" max="3350" width="1.7109375" style="1" customWidth="1"/>
    <col min="3351" max="3351" width="13.5703125" style="1" customWidth="1"/>
    <col min="3352" max="3588" width="9.140625" style="1"/>
    <col min="3589" max="3589" width="9.28515625" style="1" customWidth="1"/>
    <col min="3590" max="3590" width="1.7109375" style="1" customWidth="1"/>
    <col min="3591" max="3594" width="12" style="1" customWidth="1"/>
    <col min="3595" max="3595" width="11.85546875" style="1" customWidth="1"/>
    <col min="3596" max="3596" width="10.7109375" style="1" customWidth="1"/>
    <col min="3597" max="3597" width="10.5703125" style="1" customWidth="1"/>
    <col min="3598" max="3598" width="1.140625" style="1" customWidth="1"/>
    <col min="3599" max="3599" width="11.28515625" style="1" customWidth="1"/>
    <col min="3600" max="3600" width="12.7109375" style="1" customWidth="1"/>
    <col min="3601" max="3601" width="11.5703125" style="1" customWidth="1"/>
    <col min="3602" max="3602" width="12.42578125" style="1" customWidth="1"/>
    <col min="3603" max="3603" width="1.5703125" style="1" customWidth="1"/>
    <col min="3604" max="3604" width="11.42578125" style="1" customWidth="1"/>
    <col min="3605" max="3605" width="12.140625" style="1" customWidth="1"/>
    <col min="3606" max="3606" width="1.7109375" style="1" customWidth="1"/>
    <col min="3607" max="3607" width="13.5703125" style="1" customWidth="1"/>
    <col min="3608" max="3844" width="9.140625" style="1"/>
    <col min="3845" max="3845" width="9.28515625" style="1" customWidth="1"/>
    <col min="3846" max="3846" width="1.7109375" style="1" customWidth="1"/>
    <col min="3847" max="3850" width="12" style="1" customWidth="1"/>
    <col min="3851" max="3851" width="11.85546875" style="1" customWidth="1"/>
    <col min="3852" max="3852" width="10.7109375" style="1" customWidth="1"/>
    <col min="3853" max="3853" width="10.5703125" style="1" customWidth="1"/>
    <col min="3854" max="3854" width="1.140625" style="1" customWidth="1"/>
    <col min="3855" max="3855" width="11.28515625" style="1" customWidth="1"/>
    <col min="3856" max="3856" width="12.7109375" style="1" customWidth="1"/>
    <col min="3857" max="3857" width="11.5703125" style="1" customWidth="1"/>
    <col min="3858" max="3858" width="12.42578125" style="1" customWidth="1"/>
    <col min="3859" max="3859" width="1.5703125" style="1" customWidth="1"/>
    <col min="3860" max="3860" width="11.42578125" style="1" customWidth="1"/>
    <col min="3861" max="3861" width="12.140625" style="1" customWidth="1"/>
    <col min="3862" max="3862" width="1.7109375" style="1" customWidth="1"/>
    <col min="3863" max="3863" width="13.5703125" style="1" customWidth="1"/>
    <col min="3864" max="4100" width="9.140625" style="1"/>
    <col min="4101" max="4101" width="9.28515625" style="1" customWidth="1"/>
    <col min="4102" max="4102" width="1.7109375" style="1" customWidth="1"/>
    <col min="4103" max="4106" width="12" style="1" customWidth="1"/>
    <col min="4107" max="4107" width="11.85546875" style="1" customWidth="1"/>
    <col min="4108" max="4108" width="10.7109375" style="1" customWidth="1"/>
    <col min="4109" max="4109" width="10.5703125" style="1" customWidth="1"/>
    <col min="4110" max="4110" width="1.140625" style="1" customWidth="1"/>
    <col min="4111" max="4111" width="11.28515625" style="1" customWidth="1"/>
    <col min="4112" max="4112" width="12.7109375" style="1" customWidth="1"/>
    <col min="4113" max="4113" width="11.5703125" style="1" customWidth="1"/>
    <col min="4114" max="4114" width="12.42578125" style="1" customWidth="1"/>
    <col min="4115" max="4115" width="1.5703125" style="1" customWidth="1"/>
    <col min="4116" max="4116" width="11.42578125" style="1" customWidth="1"/>
    <col min="4117" max="4117" width="12.140625" style="1" customWidth="1"/>
    <col min="4118" max="4118" width="1.7109375" style="1" customWidth="1"/>
    <col min="4119" max="4119" width="13.5703125" style="1" customWidth="1"/>
    <col min="4120" max="4356" width="9.140625" style="1"/>
    <col min="4357" max="4357" width="9.28515625" style="1" customWidth="1"/>
    <col min="4358" max="4358" width="1.7109375" style="1" customWidth="1"/>
    <col min="4359" max="4362" width="12" style="1" customWidth="1"/>
    <col min="4363" max="4363" width="11.85546875" style="1" customWidth="1"/>
    <col min="4364" max="4364" width="10.7109375" style="1" customWidth="1"/>
    <col min="4365" max="4365" width="10.5703125" style="1" customWidth="1"/>
    <col min="4366" max="4366" width="1.140625" style="1" customWidth="1"/>
    <col min="4367" max="4367" width="11.28515625" style="1" customWidth="1"/>
    <col min="4368" max="4368" width="12.7109375" style="1" customWidth="1"/>
    <col min="4369" max="4369" width="11.5703125" style="1" customWidth="1"/>
    <col min="4370" max="4370" width="12.42578125" style="1" customWidth="1"/>
    <col min="4371" max="4371" width="1.5703125" style="1" customWidth="1"/>
    <col min="4372" max="4372" width="11.42578125" style="1" customWidth="1"/>
    <col min="4373" max="4373" width="12.140625" style="1" customWidth="1"/>
    <col min="4374" max="4374" width="1.7109375" style="1" customWidth="1"/>
    <col min="4375" max="4375" width="13.5703125" style="1" customWidth="1"/>
    <col min="4376" max="4612" width="9.140625" style="1"/>
    <col min="4613" max="4613" width="9.28515625" style="1" customWidth="1"/>
    <col min="4614" max="4614" width="1.7109375" style="1" customWidth="1"/>
    <col min="4615" max="4618" width="12" style="1" customWidth="1"/>
    <col min="4619" max="4619" width="11.85546875" style="1" customWidth="1"/>
    <col min="4620" max="4620" width="10.7109375" style="1" customWidth="1"/>
    <col min="4621" max="4621" width="10.5703125" style="1" customWidth="1"/>
    <col min="4622" max="4622" width="1.140625" style="1" customWidth="1"/>
    <col min="4623" max="4623" width="11.28515625" style="1" customWidth="1"/>
    <col min="4624" max="4624" width="12.7109375" style="1" customWidth="1"/>
    <col min="4625" max="4625" width="11.5703125" style="1" customWidth="1"/>
    <col min="4626" max="4626" width="12.42578125" style="1" customWidth="1"/>
    <col min="4627" max="4627" width="1.5703125" style="1" customWidth="1"/>
    <col min="4628" max="4628" width="11.42578125" style="1" customWidth="1"/>
    <col min="4629" max="4629" width="12.140625" style="1" customWidth="1"/>
    <col min="4630" max="4630" width="1.7109375" style="1" customWidth="1"/>
    <col min="4631" max="4631" width="13.5703125" style="1" customWidth="1"/>
    <col min="4632" max="4868" width="9.140625" style="1"/>
    <col min="4869" max="4869" width="9.28515625" style="1" customWidth="1"/>
    <col min="4870" max="4870" width="1.7109375" style="1" customWidth="1"/>
    <col min="4871" max="4874" width="12" style="1" customWidth="1"/>
    <col min="4875" max="4875" width="11.85546875" style="1" customWidth="1"/>
    <col min="4876" max="4876" width="10.7109375" style="1" customWidth="1"/>
    <col min="4877" max="4877" width="10.5703125" style="1" customWidth="1"/>
    <col min="4878" max="4878" width="1.140625" style="1" customWidth="1"/>
    <col min="4879" max="4879" width="11.28515625" style="1" customWidth="1"/>
    <col min="4880" max="4880" width="12.7109375" style="1" customWidth="1"/>
    <col min="4881" max="4881" width="11.5703125" style="1" customWidth="1"/>
    <col min="4882" max="4882" width="12.42578125" style="1" customWidth="1"/>
    <col min="4883" max="4883" width="1.5703125" style="1" customWidth="1"/>
    <col min="4884" max="4884" width="11.42578125" style="1" customWidth="1"/>
    <col min="4885" max="4885" width="12.140625" style="1" customWidth="1"/>
    <col min="4886" max="4886" width="1.7109375" style="1" customWidth="1"/>
    <col min="4887" max="4887" width="13.5703125" style="1" customWidth="1"/>
    <col min="4888" max="5124" width="9.140625" style="1"/>
    <col min="5125" max="5125" width="9.28515625" style="1" customWidth="1"/>
    <col min="5126" max="5126" width="1.7109375" style="1" customWidth="1"/>
    <col min="5127" max="5130" width="12" style="1" customWidth="1"/>
    <col min="5131" max="5131" width="11.85546875" style="1" customWidth="1"/>
    <col min="5132" max="5132" width="10.7109375" style="1" customWidth="1"/>
    <col min="5133" max="5133" width="10.5703125" style="1" customWidth="1"/>
    <col min="5134" max="5134" width="1.140625" style="1" customWidth="1"/>
    <col min="5135" max="5135" width="11.28515625" style="1" customWidth="1"/>
    <col min="5136" max="5136" width="12.7109375" style="1" customWidth="1"/>
    <col min="5137" max="5137" width="11.5703125" style="1" customWidth="1"/>
    <col min="5138" max="5138" width="12.42578125" style="1" customWidth="1"/>
    <col min="5139" max="5139" width="1.5703125" style="1" customWidth="1"/>
    <col min="5140" max="5140" width="11.42578125" style="1" customWidth="1"/>
    <col min="5141" max="5141" width="12.140625" style="1" customWidth="1"/>
    <col min="5142" max="5142" width="1.7109375" style="1" customWidth="1"/>
    <col min="5143" max="5143" width="13.5703125" style="1" customWidth="1"/>
    <col min="5144" max="5380" width="9.140625" style="1"/>
    <col min="5381" max="5381" width="9.28515625" style="1" customWidth="1"/>
    <col min="5382" max="5382" width="1.7109375" style="1" customWidth="1"/>
    <col min="5383" max="5386" width="12" style="1" customWidth="1"/>
    <col min="5387" max="5387" width="11.85546875" style="1" customWidth="1"/>
    <col min="5388" max="5388" width="10.7109375" style="1" customWidth="1"/>
    <col min="5389" max="5389" width="10.5703125" style="1" customWidth="1"/>
    <col min="5390" max="5390" width="1.140625" style="1" customWidth="1"/>
    <col min="5391" max="5391" width="11.28515625" style="1" customWidth="1"/>
    <col min="5392" max="5392" width="12.7109375" style="1" customWidth="1"/>
    <col min="5393" max="5393" width="11.5703125" style="1" customWidth="1"/>
    <col min="5394" max="5394" width="12.42578125" style="1" customWidth="1"/>
    <col min="5395" max="5395" width="1.5703125" style="1" customWidth="1"/>
    <col min="5396" max="5396" width="11.42578125" style="1" customWidth="1"/>
    <col min="5397" max="5397" width="12.140625" style="1" customWidth="1"/>
    <col min="5398" max="5398" width="1.7109375" style="1" customWidth="1"/>
    <col min="5399" max="5399" width="13.5703125" style="1" customWidth="1"/>
    <col min="5400" max="5636" width="9.140625" style="1"/>
    <col min="5637" max="5637" width="9.28515625" style="1" customWidth="1"/>
    <col min="5638" max="5638" width="1.7109375" style="1" customWidth="1"/>
    <col min="5639" max="5642" width="12" style="1" customWidth="1"/>
    <col min="5643" max="5643" width="11.85546875" style="1" customWidth="1"/>
    <col min="5644" max="5644" width="10.7109375" style="1" customWidth="1"/>
    <col min="5645" max="5645" width="10.5703125" style="1" customWidth="1"/>
    <col min="5646" max="5646" width="1.140625" style="1" customWidth="1"/>
    <col min="5647" max="5647" width="11.28515625" style="1" customWidth="1"/>
    <col min="5648" max="5648" width="12.7109375" style="1" customWidth="1"/>
    <col min="5649" max="5649" width="11.5703125" style="1" customWidth="1"/>
    <col min="5650" max="5650" width="12.42578125" style="1" customWidth="1"/>
    <col min="5651" max="5651" width="1.5703125" style="1" customWidth="1"/>
    <col min="5652" max="5652" width="11.42578125" style="1" customWidth="1"/>
    <col min="5653" max="5653" width="12.140625" style="1" customWidth="1"/>
    <col min="5654" max="5654" width="1.7109375" style="1" customWidth="1"/>
    <col min="5655" max="5655" width="13.5703125" style="1" customWidth="1"/>
    <col min="5656" max="5892" width="9.140625" style="1"/>
    <col min="5893" max="5893" width="9.28515625" style="1" customWidth="1"/>
    <col min="5894" max="5894" width="1.7109375" style="1" customWidth="1"/>
    <col min="5895" max="5898" width="12" style="1" customWidth="1"/>
    <col min="5899" max="5899" width="11.85546875" style="1" customWidth="1"/>
    <col min="5900" max="5900" width="10.7109375" style="1" customWidth="1"/>
    <col min="5901" max="5901" width="10.5703125" style="1" customWidth="1"/>
    <col min="5902" max="5902" width="1.140625" style="1" customWidth="1"/>
    <col min="5903" max="5903" width="11.28515625" style="1" customWidth="1"/>
    <col min="5904" max="5904" width="12.7109375" style="1" customWidth="1"/>
    <col min="5905" max="5905" width="11.5703125" style="1" customWidth="1"/>
    <col min="5906" max="5906" width="12.42578125" style="1" customWidth="1"/>
    <col min="5907" max="5907" width="1.5703125" style="1" customWidth="1"/>
    <col min="5908" max="5908" width="11.42578125" style="1" customWidth="1"/>
    <col min="5909" max="5909" width="12.140625" style="1" customWidth="1"/>
    <col min="5910" max="5910" width="1.7109375" style="1" customWidth="1"/>
    <col min="5911" max="5911" width="13.5703125" style="1" customWidth="1"/>
    <col min="5912" max="6148" width="9.140625" style="1"/>
    <col min="6149" max="6149" width="9.28515625" style="1" customWidth="1"/>
    <col min="6150" max="6150" width="1.7109375" style="1" customWidth="1"/>
    <col min="6151" max="6154" width="12" style="1" customWidth="1"/>
    <col min="6155" max="6155" width="11.85546875" style="1" customWidth="1"/>
    <col min="6156" max="6156" width="10.7109375" style="1" customWidth="1"/>
    <col min="6157" max="6157" width="10.5703125" style="1" customWidth="1"/>
    <col min="6158" max="6158" width="1.140625" style="1" customWidth="1"/>
    <col min="6159" max="6159" width="11.28515625" style="1" customWidth="1"/>
    <col min="6160" max="6160" width="12.7109375" style="1" customWidth="1"/>
    <col min="6161" max="6161" width="11.5703125" style="1" customWidth="1"/>
    <col min="6162" max="6162" width="12.42578125" style="1" customWidth="1"/>
    <col min="6163" max="6163" width="1.5703125" style="1" customWidth="1"/>
    <col min="6164" max="6164" width="11.42578125" style="1" customWidth="1"/>
    <col min="6165" max="6165" width="12.140625" style="1" customWidth="1"/>
    <col min="6166" max="6166" width="1.7109375" style="1" customWidth="1"/>
    <col min="6167" max="6167" width="13.5703125" style="1" customWidth="1"/>
    <col min="6168" max="6404" width="9.140625" style="1"/>
    <col min="6405" max="6405" width="9.28515625" style="1" customWidth="1"/>
    <col min="6406" max="6406" width="1.7109375" style="1" customWidth="1"/>
    <col min="6407" max="6410" width="12" style="1" customWidth="1"/>
    <col min="6411" max="6411" width="11.85546875" style="1" customWidth="1"/>
    <col min="6412" max="6412" width="10.7109375" style="1" customWidth="1"/>
    <col min="6413" max="6413" width="10.5703125" style="1" customWidth="1"/>
    <col min="6414" max="6414" width="1.140625" style="1" customWidth="1"/>
    <col min="6415" max="6415" width="11.28515625" style="1" customWidth="1"/>
    <col min="6416" max="6416" width="12.7109375" style="1" customWidth="1"/>
    <col min="6417" max="6417" width="11.5703125" style="1" customWidth="1"/>
    <col min="6418" max="6418" width="12.42578125" style="1" customWidth="1"/>
    <col min="6419" max="6419" width="1.5703125" style="1" customWidth="1"/>
    <col min="6420" max="6420" width="11.42578125" style="1" customWidth="1"/>
    <col min="6421" max="6421" width="12.140625" style="1" customWidth="1"/>
    <col min="6422" max="6422" width="1.7109375" style="1" customWidth="1"/>
    <col min="6423" max="6423" width="13.5703125" style="1" customWidth="1"/>
    <col min="6424" max="6660" width="9.140625" style="1"/>
    <col min="6661" max="6661" width="9.28515625" style="1" customWidth="1"/>
    <col min="6662" max="6662" width="1.7109375" style="1" customWidth="1"/>
    <col min="6663" max="6666" width="12" style="1" customWidth="1"/>
    <col min="6667" max="6667" width="11.85546875" style="1" customWidth="1"/>
    <col min="6668" max="6668" width="10.7109375" style="1" customWidth="1"/>
    <col min="6669" max="6669" width="10.5703125" style="1" customWidth="1"/>
    <col min="6670" max="6670" width="1.140625" style="1" customWidth="1"/>
    <col min="6671" max="6671" width="11.28515625" style="1" customWidth="1"/>
    <col min="6672" max="6672" width="12.7109375" style="1" customWidth="1"/>
    <col min="6673" max="6673" width="11.5703125" style="1" customWidth="1"/>
    <col min="6674" max="6674" width="12.42578125" style="1" customWidth="1"/>
    <col min="6675" max="6675" width="1.5703125" style="1" customWidth="1"/>
    <col min="6676" max="6676" width="11.42578125" style="1" customWidth="1"/>
    <col min="6677" max="6677" width="12.140625" style="1" customWidth="1"/>
    <col min="6678" max="6678" width="1.7109375" style="1" customWidth="1"/>
    <col min="6679" max="6679" width="13.5703125" style="1" customWidth="1"/>
    <col min="6680" max="6916" width="9.140625" style="1"/>
    <col min="6917" max="6917" width="9.28515625" style="1" customWidth="1"/>
    <col min="6918" max="6918" width="1.7109375" style="1" customWidth="1"/>
    <col min="6919" max="6922" width="12" style="1" customWidth="1"/>
    <col min="6923" max="6923" width="11.85546875" style="1" customWidth="1"/>
    <col min="6924" max="6924" width="10.7109375" style="1" customWidth="1"/>
    <col min="6925" max="6925" width="10.5703125" style="1" customWidth="1"/>
    <col min="6926" max="6926" width="1.140625" style="1" customWidth="1"/>
    <col min="6927" max="6927" width="11.28515625" style="1" customWidth="1"/>
    <col min="6928" max="6928" width="12.7109375" style="1" customWidth="1"/>
    <col min="6929" max="6929" width="11.5703125" style="1" customWidth="1"/>
    <col min="6930" max="6930" width="12.42578125" style="1" customWidth="1"/>
    <col min="6931" max="6931" width="1.5703125" style="1" customWidth="1"/>
    <col min="6932" max="6932" width="11.42578125" style="1" customWidth="1"/>
    <col min="6933" max="6933" width="12.140625" style="1" customWidth="1"/>
    <col min="6934" max="6934" width="1.7109375" style="1" customWidth="1"/>
    <col min="6935" max="6935" width="13.5703125" style="1" customWidth="1"/>
    <col min="6936" max="7172" width="9.140625" style="1"/>
    <col min="7173" max="7173" width="9.28515625" style="1" customWidth="1"/>
    <col min="7174" max="7174" width="1.7109375" style="1" customWidth="1"/>
    <col min="7175" max="7178" width="12" style="1" customWidth="1"/>
    <col min="7179" max="7179" width="11.85546875" style="1" customWidth="1"/>
    <col min="7180" max="7180" width="10.7109375" style="1" customWidth="1"/>
    <col min="7181" max="7181" width="10.5703125" style="1" customWidth="1"/>
    <col min="7182" max="7182" width="1.140625" style="1" customWidth="1"/>
    <col min="7183" max="7183" width="11.28515625" style="1" customWidth="1"/>
    <col min="7184" max="7184" width="12.7109375" style="1" customWidth="1"/>
    <col min="7185" max="7185" width="11.5703125" style="1" customWidth="1"/>
    <col min="7186" max="7186" width="12.42578125" style="1" customWidth="1"/>
    <col min="7187" max="7187" width="1.5703125" style="1" customWidth="1"/>
    <col min="7188" max="7188" width="11.42578125" style="1" customWidth="1"/>
    <col min="7189" max="7189" width="12.140625" style="1" customWidth="1"/>
    <col min="7190" max="7190" width="1.7109375" style="1" customWidth="1"/>
    <col min="7191" max="7191" width="13.5703125" style="1" customWidth="1"/>
    <col min="7192" max="7428" width="9.140625" style="1"/>
    <col min="7429" max="7429" width="9.28515625" style="1" customWidth="1"/>
    <col min="7430" max="7430" width="1.7109375" style="1" customWidth="1"/>
    <col min="7431" max="7434" width="12" style="1" customWidth="1"/>
    <col min="7435" max="7435" width="11.85546875" style="1" customWidth="1"/>
    <col min="7436" max="7436" width="10.7109375" style="1" customWidth="1"/>
    <col min="7437" max="7437" width="10.5703125" style="1" customWidth="1"/>
    <col min="7438" max="7438" width="1.140625" style="1" customWidth="1"/>
    <col min="7439" max="7439" width="11.28515625" style="1" customWidth="1"/>
    <col min="7440" max="7440" width="12.7109375" style="1" customWidth="1"/>
    <col min="7441" max="7441" width="11.5703125" style="1" customWidth="1"/>
    <col min="7442" max="7442" width="12.42578125" style="1" customWidth="1"/>
    <col min="7443" max="7443" width="1.5703125" style="1" customWidth="1"/>
    <col min="7444" max="7444" width="11.42578125" style="1" customWidth="1"/>
    <col min="7445" max="7445" width="12.140625" style="1" customWidth="1"/>
    <col min="7446" max="7446" width="1.7109375" style="1" customWidth="1"/>
    <col min="7447" max="7447" width="13.5703125" style="1" customWidth="1"/>
    <col min="7448" max="7684" width="9.140625" style="1"/>
    <col min="7685" max="7685" width="9.28515625" style="1" customWidth="1"/>
    <col min="7686" max="7686" width="1.7109375" style="1" customWidth="1"/>
    <col min="7687" max="7690" width="12" style="1" customWidth="1"/>
    <col min="7691" max="7691" width="11.85546875" style="1" customWidth="1"/>
    <col min="7692" max="7692" width="10.7109375" style="1" customWidth="1"/>
    <col min="7693" max="7693" width="10.5703125" style="1" customWidth="1"/>
    <col min="7694" max="7694" width="1.140625" style="1" customWidth="1"/>
    <col min="7695" max="7695" width="11.28515625" style="1" customWidth="1"/>
    <col min="7696" max="7696" width="12.7109375" style="1" customWidth="1"/>
    <col min="7697" max="7697" width="11.5703125" style="1" customWidth="1"/>
    <col min="7698" max="7698" width="12.42578125" style="1" customWidth="1"/>
    <col min="7699" max="7699" width="1.5703125" style="1" customWidth="1"/>
    <col min="7700" max="7700" width="11.42578125" style="1" customWidth="1"/>
    <col min="7701" max="7701" width="12.140625" style="1" customWidth="1"/>
    <col min="7702" max="7702" width="1.7109375" style="1" customWidth="1"/>
    <col min="7703" max="7703" width="13.5703125" style="1" customWidth="1"/>
    <col min="7704" max="7940" width="9.140625" style="1"/>
    <col min="7941" max="7941" width="9.28515625" style="1" customWidth="1"/>
    <col min="7942" max="7942" width="1.7109375" style="1" customWidth="1"/>
    <col min="7943" max="7946" width="12" style="1" customWidth="1"/>
    <col min="7947" max="7947" width="11.85546875" style="1" customWidth="1"/>
    <col min="7948" max="7948" width="10.7109375" style="1" customWidth="1"/>
    <col min="7949" max="7949" width="10.5703125" style="1" customWidth="1"/>
    <col min="7950" max="7950" width="1.140625" style="1" customWidth="1"/>
    <col min="7951" max="7951" width="11.28515625" style="1" customWidth="1"/>
    <col min="7952" max="7952" width="12.7109375" style="1" customWidth="1"/>
    <col min="7953" max="7953" width="11.5703125" style="1" customWidth="1"/>
    <col min="7954" max="7954" width="12.42578125" style="1" customWidth="1"/>
    <col min="7955" max="7955" width="1.5703125" style="1" customWidth="1"/>
    <col min="7956" max="7956" width="11.42578125" style="1" customWidth="1"/>
    <col min="7957" max="7957" width="12.140625" style="1" customWidth="1"/>
    <col min="7958" max="7958" width="1.7109375" style="1" customWidth="1"/>
    <col min="7959" max="7959" width="13.5703125" style="1" customWidth="1"/>
    <col min="7960" max="8196" width="9.140625" style="1"/>
    <col min="8197" max="8197" width="9.28515625" style="1" customWidth="1"/>
    <col min="8198" max="8198" width="1.7109375" style="1" customWidth="1"/>
    <col min="8199" max="8202" width="12" style="1" customWidth="1"/>
    <col min="8203" max="8203" width="11.85546875" style="1" customWidth="1"/>
    <col min="8204" max="8204" width="10.7109375" style="1" customWidth="1"/>
    <col min="8205" max="8205" width="10.5703125" style="1" customWidth="1"/>
    <col min="8206" max="8206" width="1.140625" style="1" customWidth="1"/>
    <col min="8207" max="8207" width="11.28515625" style="1" customWidth="1"/>
    <col min="8208" max="8208" width="12.7109375" style="1" customWidth="1"/>
    <col min="8209" max="8209" width="11.5703125" style="1" customWidth="1"/>
    <col min="8210" max="8210" width="12.42578125" style="1" customWidth="1"/>
    <col min="8211" max="8211" width="1.5703125" style="1" customWidth="1"/>
    <col min="8212" max="8212" width="11.42578125" style="1" customWidth="1"/>
    <col min="8213" max="8213" width="12.140625" style="1" customWidth="1"/>
    <col min="8214" max="8214" width="1.7109375" style="1" customWidth="1"/>
    <col min="8215" max="8215" width="13.5703125" style="1" customWidth="1"/>
    <col min="8216" max="8452" width="9.140625" style="1"/>
    <col min="8453" max="8453" width="9.28515625" style="1" customWidth="1"/>
    <col min="8454" max="8454" width="1.7109375" style="1" customWidth="1"/>
    <col min="8455" max="8458" width="12" style="1" customWidth="1"/>
    <col min="8459" max="8459" width="11.85546875" style="1" customWidth="1"/>
    <col min="8460" max="8460" width="10.7109375" style="1" customWidth="1"/>
    <col min="8461" max="8461" width="10.5703125" style="1" customWidth="1"/>
    <col min="8462" max="8462" width="1.140625" style="1" customWidth="1"/>
    <col min="8463" max="8463" width="11.28515625" style="1" customWidth="1"/>
    <col min="8464" max="8464" width="12.7109375" style="1" customWidth="1"/>
    <col min="8465" max="8465" width="11.5703125" style="1" customWidth="1"/>
    <col min="8466" max="8466" width="12.42578125" style="1" customWidth="1"/>
    <col min="8467" max="8467" width="1.5703125" style="1" customWidth="1"/>
    <col min="8468" max="8468" width="11.42578125" style="1" customWidth="1"/>
    <col min="8469" max="8469" width="12.140625" style="1" customWidth="1"/>
    <col min="8470" max="8470" width="1.7109375" style="1" customWidth="1"/>
    <col min="8471" max="8471" width="13.5703125" style="1" customWidth="1"/>
    <col min="8472" max="8708" width="9.140625" style="1"/>
    <col min="8709" max="8709" width="9.28515625" style="1" customWidth="1"/>
    <col min="8710" max="8710" width="1.7109375" style="1" customWidth="1"/>
    <col min="8711" max="8714" width="12" style="1" customWidth="1"/>
    <col min="8715" max="8715" width="11.85546875" style="1" customWidth="1"/>
    <col min="8716" max="8716" width="10.7109375" style="1" customWidth="1"/>
    <col min="8717" max="8717" width="10.5703125" style="1" customWidth="1"/>
    <col min="8718" max="8718" width="1.140625" style="1" customWidth="1"/>
    <col min="8719" max="8719" width="11.28515625" style="1" customWidth="1"/>
    <col min="8720" max="8720" width="12.7109375" style="1" customWidth="1"/>
    <col min="8721" max="8721" width="11.5703125" style="1" customWidth="1"/>
    <col min="8722" max="8722" width="12.42578125" style="1" customWidth="1"/>
    <col min="8723" max="8723" width="1.5703125" style="1" customWidth="1"/>
    <col min="8724" max="8724" width="11.42578125" style="1" customWidth="1"/>
    <col min="8725" max="8725" width="12.140625" style="1" customWidth="1"/>
    <col min="8726" max="8726" width="1.7109375" style="1" customWidth="1"/>
    <col min="8727" max="8727" width="13.5703125" style="1" customWidth="1"/>
    <col min="8728" max="8964" width="9.140625" style="1"/>
    <col min="8965" max="8965" width="9.28515625" style="1" customWidth="1"/>
    <col min="8966" max="8966" width="1.7109375" style="1" customWidth="1"/>
    <col min="8967" max="8970" width="12" style="1" customWidth="1"/>
    <col min="8971" max="8971" width="11.85546875" style="1" customWidth="1"/>
    <col min="8972" max="8972" width="10.7109375" style="1" customWidth="1"/>
    <col min="8973" max="8973" width="10.5703125" style="1" customWidth="1"/>
    <col min="8974" max="8974" width="1.140625" style="1" customWidth="1"/>
    <col min="8975" max="8975" width="11.28515625" style="1" customWidth="1"/>
    <col min="8976" max="8976" width="12.7109375" style="1" customWidth="1"/>
    <col min="8977" max="8977" width="11.5703125" style="1" customWidth="1"/>
    <col min="8978" max="8978" width="12.42578125" style="1" customWidth="1"/>
    <col min="8979" max="8979" width="1.5703125" style="1" customWidth="1"/>
    <col min="8980" max="8980" width="11.42578125" style="1" customWidth="1"/>
    <col min="8981" max="8981" width="12.140625" style="1" customWidth="1"/>
    <col min="8982" max="8982" width="1.7109375" style="1" customWidth="1"/>
    <col min="8983" max="8983" width="13.5703125" style="1" customWidth="1"/>
    <col min="8984" max="9220" width="9.140625" style="1"/>
    <col min="9221" max="9221" width="9.28515625" style="1" customWidth="1"/>
    <col min="9222" max="9222" width="1.7109375" style="1" customWidth="1"/>
    <col min="9223" max="9226" width="12" style="1" customWidth="1"/>
    <col min="9227" max="9227" width="11.85546875" style="1" customWidth="1"/>
    <col min="9228" max="9228" width="10.7109375" style="1" customWidth="1"/>
    <col min="9229" max="9229" width="10.5703125" style="1" customWidth="1"/>
    <col min="9230" max="9230" width="1.140625" style="1" customWidth="1"/>
    <col min="9231" max="9231" width="11.28515625" style="1" customWidth="1"/>
    <col min="9232" max="9232" width="12.7109375" style="1" customWidth="1"/>
    <col min="9233" max="9233" width="11.5703125" style="1" customWidth="1"/>
    <col min="9234" max="9234" width="12.42578125" style="1" customWidth="1"/>
    <col min="9235" max="9235" width="1.5703125" style="1" customWidth="1"/>
    <col min="9236" max="9236" width="11.42578125" style="1" customWidth="1"/>
    <col min="9237" max="9237" width="12.140625" style="1" customWidth="1"/>
    <col min="9238" max="9238" width="1.7109375" style="1" customWidth="1"/>
    <col min="9239" max="9239" width="13.5703125" style="1" customWidth="1"/>
    <col min="9240" max="9476" width="9.140625" style="1"/>
    <col min="9477" max="9477" width="9.28515625" style="1" customWidth="1"/>
    <col min="9478" max="9478" width="1.7109375" style="1" customWidth="1"/>
    <col min="9479" max="9482" width="12" style="1" customWidth="1"/>
    <col min="9483" max="9483" width="11.85546875" style="1" customWidth="1"/>
    <col min="9484" max="9484" width="10.7109375" style="1" customWidth="1"/>
    <col min="9485" max="9485" width="10.5703125" style="1" customWidth="1"/>
    <col min="9486" max="9486" width="1.140625" style="1" customWidth="1"/>
    <col min="9487" max="9487" width="11.28515625" style="1" customWidth="1"/>
    <col min="9488" max="9488" width="12.7109375" style="1" customWidth="1"/>
    <col min="9489" max="9489" width="11.5703125" style="1" customWidth="1"/>
    <col min="9490" max="9490" width="12.42578125" style="1" customWidth="1"/>
    <col min="9491" max="9491" width="1.5703125" style="1" customWidth="1"/>
    <col min="9492" max="9492" width="11.42578125" style="1" customWidth="1"/>
    <col min="9493" max="9493" width="12.140625" style="1" customWidth="1"/>
    <col min="9494" max="9494" width="1.7109375" style="1" customWidth="1"/>
    <col min="9495" max="9495" width="13.5703125" style="1" customWidth="1"/>
    <col min="9496" max="9732" width="9.140625" style="1"/>
    <col min="9733" max="9733" width="9.28515625" style="1" customWidth="1"/>
    <col min="9734" max="9734" width="1.7109375" style="1" customWidth="1"/>
    <col min="9735" max="9738" width="12" style="1" customWidth="1"/>
    <col min="9739" max="9739" width="11.85546875" style="1" customWidth="1"/>
    <col min="9740" max="9740" width="10.7109375" style="1" customWidth="1"/>
    <col min="9741" max="9741" width="10.5703125" style="1" customWidth="1"/>
    <col min="9742" max="9742" width="1.140625" style="1" customWidth="1"/>
    <col min="9743" max="9743" width="11.28515625" style="1" customWidth="1"/>
    <col min="9744" max="9744" width="12.7109375" style="1" customWidth="1"/>
    <col min="9745" max="9745" width="11.5703125" style="1" customWidth="1"/>
    <col min="9746" max="9746" width="12.42578125" style="1" customWidth="1"/>
    <col min="9747" max="9747" width="1.5703125" style="1" customWidth="1"/>
    <col min="9748" max="9748" width="11.42578125" style="1" customWidth="1"/>
    <col min="9749" max="9749" width="12.140625" style="1" customWidth="1"/>
    <col min="9750" max="9750" width="1.7109375" style="1" customWidth="1"/>
    <col min="9751" max="9751" width="13.5703125" style="1" customWidth="1"/>
    <col min="9752" max="9988" width="9.140625" style="1"/>
    <col min="9989" max="9989" width="9.28515625" style="1" customWidth="1"/>
    <col min="9990" max="9990" width="1.7109375" style="1" customWidth="1"/>
    <col min="9991" max="9994" width="12" style="1" customWidth="1"/>
    <col min="9995" max="9995" width="11.85546875" style="1" customWidth="1"/>
    <col min="9996" max="9996" width="10.7109375" style="1" customWidth="1"/>
    <col min="9997" max="9997" width="10.5703125" style="1" customWidth="1"/>
    <col min="9998" max="9998" width="1.140625" style="1" customWidth="1"/>
    <col min="9999" max="9999" width="11.28515625" style="1" customWidth="1"/>
    <col min="10000" max="10000" width="12.7109375" style="1" customWidth="1"/>
    <col min="10001" max="10001" width="11.5703125" style="1" customWidth="1"/>
    <col min="10002" max="10002" width="12.42578125" style="1" customWidth="1"/>
    <col min="10003" max="10003" width="1.5703125" style="1" customWidth="1"/>
    <col min="10004" max="10004" width="11.42578125" style="1" customWidth="1"/>
    <col min="10005" max="10005" width="12.140625" style="1" customWidth="1"/>
    <col min="10006" max="10006" width="1.7109375" style="1" customWidth="1"/>
    <col min="10007" max="10007" width="13.5703125" style="1" customWidth="1"/>
    <col min="10008" max="10244" width="9.140625" style="1"/>
    <col min="10245" max="10245" width="9.28515625" style="1" customWidth="1"/>
    <col min="10246" max="10246" width="1.7109375" style="1" customWidth="1"/>
    <col min="10247" max="10250" width="12" style="1" customWidth="1"/>
    <col min="10251" max="10251" width="11.85546875" style="1" customWidth="1"/>
    <col min="10252" max="10252" width="10.7109375" style="1" customWidth="1"/>
    <col min="10253" max="10253" width="10.5703125" style="1" customWidth="1"/>
    <col min="10254" max="10254" width="1.140625" style="1" customWidth="1"/>
    <col min="10255" max="10255" width="11.28515625" style="1" customWidth="1"/>
    <col min="10256" max="10256" width="12.7109375" style="1" customWidth="1"/>
    <col min="10257" max="10257" width="11.5703125" style="1" customWidth="1"/>
    <col min="10258" max="10258" width="12.42578125" style="1" customWidth="1"/>
    <col min="10259" max="10259" width="1.5703125" style="1" customWidth="1"/>
    <col min="10260" max="10260" width="11.42578125" style="1" customWidth="1"/>
    <col min="10261" max="10261" width="12.140625" style="1" customWidth="1"/>
    <col min="10262" max="10262" width="1.7109375" style="1" customWidth="1"/>
    <col min="10263" max="10263" width="13.5703125" style="1" customWidth="1"/>
    <col min="10264" max="10500" width="9.140625" style="1"/>
    <col min="10501" max="10501" width="9.28515625" style="1" customWidth="1"/>
    <col min="10502" max="10502" width="1.7109375" style="1" customWidth="1"/>
    <col min="10503" max="10506" width="12" style="1" customWidth="1"/>
    <col min="10507" max="10507" width="11.85546875" style="1" customWidth="1"/>
    <col min="10508" max="10508" width="10.7109375" style="1" customWidth="1"/>
    <col min="10509" max="10509" width="10.5703125" style="1" customWidth="1"/>
    <col min="10510" max="10510" width="1.140625" style="1" customWidth="1"/>
    <col min="10511" max="10511" width="11.28515625" style="1" customWidth="1"/>
    <col min="10512" max="10512" width="12.7109375" style="1" customWidth="1"/>
    <col min="10513" max="10513" width="11.5703125" style="1" customWidth="1"/>
    <col min="10514" max="10514" width="12.42578125" style="1" customWidth="1"/>
    <col min="10515" max="10515" width="1.5703125" style="1" customWidth="1"/>
    <col min="10516" max="10516" width="11.42578125" style="1" customWidth="1"/>
    <col min="10517" max="10517" width="12.140625" style="1" customWidth="1"/>
    <col min="10518" max="10518" width="1.7109375" style="1" customWidth="1"/>
    <col min="10519" max="10519" width="13.5703125" style="1" customWidth="1"/>
    <col min="10520" max="10756" width="9.140625" style="1"/>
    <col min="10757" max="10757" width="9.28515625" style="1" customWidth="1"/>
    <col min="10758" max="10758" width="1.7109375" style="1" customWidth="1"/>
    <col min="10759" max="10762" width="12" style="1" customWidth="1"/>
    <col min="10763" max="10763" width="11.85546875" style="1" customWidth="1"/>
    <col min="10764" max="10764" width="10.7109375" style="1" customWidth="1"/>
    <col min="10765" max="10765" width="10.5703125" style="1" customWidth="1"/>
    <col min="10766" max="10766" width="1.140625" style="1" customWidth="1"/>
    <col min="10767" max="10767" width="11.28515625" style="1" customWidth="1"/>
    <col min="10768" max="10768" width="12.7109375" style="1" customWidth="1"/>
    <col min="10769" max="10769" width="11.5703125" style="1" customWidth="1"/>
    <col min="10770" max="10770" width="12.42578125" style="1" customWidth="1"/>
    <col min="10771" max="10771" width="1.5703125" style="1" customWidth="1"/>
    <col min="10772" max="10772" width="11.42578125" style="1" customWidth="1"/>
    <col min="10773" max="10773" width="12.140625" style="1" customWidth="1"/>
    <col min="10774" max="10774" width="1.7109375" style="1" customWidth="1"/>
    <col min="10775" max="10775" width="13.5703125" style="1" customWidth="1"/>
    <col min="10776" max="11012" width="9.140625" style="1"/>
    <col min="11013" max="11013" width="9.28515625" style="1" customWidth="1"/>
    <col min="11014" max="11014" width="1.7109375" style="1" customWidth="1"/>
    <col min="11015" max="11018" width="12" style="1" customWidth="1"/>
    <col min="11019" max="11019" width="11.85546875" style="1" customWidth="1"/>
    <col min="11020" max="11020" width="10.7109375" style="1" customWidth="1"/>
    <col min="11021" max="11021" width="10.5703125" style="1" customWidth="1"/>
    <col min="11022" max="11022" width="1.140625" style="1" customWidth="1"/>
    <col min="11023" max="11023" width="11.28515625" style="1" customWidth="1"/>
    <col min="11024" max="11024" width="12.7109375" style="1" customWidth="1"/>
    <col min="11025" max="11025" width="11.5703125" style="1" customWidth="1"/>
    <col min="11026" max="11026" width="12.42578125" style="1" customWidth="1"/>
    <col min="11027" max="11027" width="1.5703125" style="1" customWidth="1"/>
    <col min="11028" max="11028" width="11.42578125" style="1" customWidth="1"/>
    <col min="11029" max="11029" width="12.140625" style="1" customWidth="1"/>
    <col min="11030" max="11030" width="1.7109375" style="1" customWidth="1"/>
    <col min="11031" max="11031" width="13.5703125" style="1" customWidth="1"/>
    <col min="11032" max="11268" width="9.140625" style="1"/>
    <col min="11269" max="11269" width="9.28515625" style="1" customWidth="1"/>
    <col min="11270" max="11270" width="1.7109375" style="1" customWidth="1"/>
    <col min="11271" max="11274" width="12" style="1" customWidth="1"/>
    <col min="11275" max="11275" width="11.85546875" style="1" customWidth="1"/>
    <col min="11276" max="11276" width="10.7109375" style="1" customWidth="1"/>
    <col min="11277" max="11277" width="10.5703125" style="1" customWidth="1"/>
    <col min="11278" max="11278" width="1.140625" style="1" customWidth="1"/>
    <col min="11279" max="11279" width="11.28515625" style="1" customWidth="1"/>
    <col min="11280" max="11280" width="12.7109375" style="1" customWidth="1"/>
    <col min="11281" max="11281" width="11.5703125" style="1" customWidth="1"/>
    <col min="11282" max="11282" width="12.42578125" style="1" customWidth="1"/>
    <col min="11283" max="11283" width="1.5703125" style="1" customWidth="1"/>
    <col min="11284" max="11284" width="11.42578125" style="1" customWidth="1"/>
    <col min="11285" max="11285" width="12.140625" style="1" customWidth="1"/>
    <col min="11286" max="11286" width="1.7109375" style="1" customWidth="1"/>
    <col min="11287" max="11287" width="13.5703125" style="1" customWidth="1"/>
    <col min="11288" max="11524" width="9.140625" style="1"/>
    <col min="11525" max="11525" width="9.28515625" style="1" customWidth="1"/>
    <col min="11526" max="11526" width="1.7109375" style="1" customWidth="1"/>
    <col min="11527" max="11530" width="12" style="1" customWidth="1"/>
    <col min="11531" max="11531" width="11.85546875" style="1" customWidth="1"/>
    <col min="11532" max="11532" width="10.7109375" style="1" customWidth="1"/>
    <col min="11533" max="11533" width="10.5703125" style="1" customWidth="1"/>
    <col min="11534" max="11534" width="1.140625" style="1" customWidth="1"/>
    <col min="11535" max="11535" width="11.28515625" style="1" customWidth="1"/>
    <col min="11536" max="11536" width="12.7109375" style="1" customWidth="1"/>
    <col min="11537" max="11537" width="11.5703125" style="1" customWidth="1"/>
    <col min="11538" max="11538" width="12.42578125" style="1" customWidth="1"/>
    <col min="11539" max="11539" width="1.5703125" style="1" customWidth="1"/>
    <col min="11540" max="11540" width="11.42578125" style="1" customWidth="1"/>
    <col min="11541" max="11541" width="12.140625" style="1" customWidth="1"/>
    <col min="11542" max="11542" width="1.7109375" style="1" customWidth="1"/>
    <col min="11543" max="11543" width="13.5703125" style="1" customWidth="1"/>
    <col min="11544" max="11780" width="9.140625" style="1"/>
    <col min="11781" max="11781" width="9.28515625" style="1" customWidth="1"/>
    <col min="11782" max="11782" width="1.7109375" style="1" customWidth="1"/>
    <col min="11783" max="11786" width="12" style="1" customWidth="1"/>
    <col min="11787" max="11787" width="11.85546875" style="1" customWidth="1"/>
    <col min="11788" max="11788" width="10.7109375" style="1" customWidth="1"/>
    <col min="11789" max="11789" width="10.5703125" style="1" customWidth="1"/>
    <col min="11790" max="11790" width="1.140625" style="1" customWidth="1"/>
    <col min="11791" max="11791" width="11.28515625" style="1" customWidth="1"/>
    <col min="11792" max="11792" width="12.7109375" style="1" customWidth="1"/>
    <col min="11793" max="11793" width="11.5703125" style="1" customWidth="1"/>
    <col min="11794" max="11794" width="12.42578125" style="1" customWidth="1"/>
    <col min="11795" max="11795" width="1.5703125" style="1" customWidth="1"/>
    <col min="11796" max="11796" width="11.42578125" style="1" customWidth="1"/>
    <col min="11797" max="11797" width="12.140625" style="1" customWidth="1"/>
    <col min="11798" max="11798" width="1.7109375" style="1" customWidth="1"/>
    <col min="11799" max="11799" width="13.5703125" style="1" customWidth="1"/>
    <col min="11800" max="12036" width="9.140625" style="1"/>
    <col min="12037" max="12037" width="9.28515625" style="1" customWidth="1"/>
    <col min="12038" max="12038" width="1.7109375" style="1" customWidth="1"/>
    <col min="12039" max="12042" width="12" style="1" customWidth="1"/>
    <col min="12043" max="12043" width="11.85546875" style="1" customWidth="1"/>
    <col min="12044" max="12044" width="10.7109375" style="1" customWidth="1"/>
    <col min="12045" max="12045" width="10.5703125" style="1" customWidth="1"/>
    <col min="12046" max="12046" width="1.140625" style="1" customWidth="1"/>
    <col min="12047" max="12047" width="11.28515625" style="1" customWidth="1"/>
    <col min="12048" max="12048" width="12.7109375" style="1" customWidth="1"/>
    <col min="12049" max="12049" width="11.5703125" style="1" customWidth="1"/>
    <col min="12050" max="12050" width="12.42578125" style="1" customWidth="1"/>
    <col min="12051" max="12051" width="1.5703125" style="1" customWidth="1"/>
    <col min="12052" max="12052" width="11.42578125" style="1" customWidth="1"/>
    <col min="12053" max="12053" width="12.140625" style="1" customWidth="1"/>
    <col min="12054" max="12054" width="1.7109375" style="1" customWidth="1"/>
    <col min="12055" max="12055" width="13.5703125" style="1" customWidth="1"/>
    <col min="12056" max="12292" width="9.140625" style="1"/>
    <col min="12293" max="12293" width="9.28515625" style="1" customWidth="1"/>
    <col min="12294" max="12294" width="1.7109375" style="1" customWidth="1"/>
    <col min="12295" max="12298" width="12" style="1" customWidth="1"/>
    <col min="12299" max="12299" width="11.85546875" style="1" customWidth="1"/>
    <col min="12300" max="12300" width="10.7109375" style="1" customWidth="1"/>
    <col min="12301" max="12301" width="10.5703125" style="1" customWidth="1"/>
    <col min="12302" max="12302" width="1.140625" style="1" customWidth="1"/>
    <col min="12303" max="12303" width="11.28515625" style="1" customWidth="1"/>
    <col min="12304" max="12304" width="12.7109375" style="1" customWidth="1"/>
    <col min="12305" max="12305" width="11.5703125" style="1" customWidth="1"/>
    <col min="12306" max="12306" width="12.42578125" style="1" customWidth="1"/>
    <col min="12307" max="12307" width="1.5703125" style="1" customWidth="1"/>
    <col min="12308" max="12308" width="11.42578125" style="1" customWidth="1"/>
    <col min="12309" max="12309" width="12.140625" style="1" customWidth="1"/>
    <col min="12310" max="12310" width="1.7109375" style="1" customWidth="1"/>
    <col min="12311" max="12311" width="13.5703125" style="1" customWidth="1"/>
    <col min="12312" max="12548" width="9.140625" style="1"/>
    <col min="12549" max="12549" width="9.28515625" style="1" customWidth="1"/>
    <col min="12550" max="12550" width="1.7109375" style="1" customWidth="1"/>
    <col min="12551" max="12554" width="12" style="1" customWidth="1"/>
    <col min="12555" max="12555" width="11.85546875" style="1" customWidth="1"/>
    <col min="12556" max="12556" width="10.7109375" style="1" customWidth="1"/>
    <col min="12557" max="12557" width="10.5703125" style="1" customWidth="1"/>
    <col min="12558" max="12558" width="1.140625" style="1" customWidth="1"/>
    <col min="12559" max="12559" width="11.28515625" style="1" customWidth="1"/>
    <col min="12560" max="12560" width="12.7109375" style="1" customWidth="1"/>
    <col min="12561" max="12561" width="11.5703125" style="1" customWidth="1"/>
    <col min="12562" max="12562" width="12.42578125" style="1" customWidth="1"/>
    <col min="12563" max="12563" width="1.5703125" style="1" customWidth="1"/>
    <col min="12564" max="12564" width="11.42578125" style="1" customWidth="1"/>
    <col min="12565" max="12565" width="12.140625" style="1" customWidth="1"/>
    <col min="12566" max="12566" width="1.7109375" style="1" customWidth="1"/>
    <col min="12567" max="12567" width="13.5703125" style="1" customWidth="1"/>
    <col min="12568" max="12804" width="9.140625" style="1"/>
    <col min="12805" max="12805" width="9.28515625" style="1" customWidth="1"/>
    <col min="12806" max="12806" width="1.7109375" style="1" customWidth="1"/>
    <col min="12807" max="12810" width="12" style="1" customWidth="1"/>
    <col min="12811" max="12811" width="11.85546875" style="1" customWidth="1"/>
    <col min="12812" max="12812" width="10.7109375" style="1" customWidth="1"/>
    <col min="12813" max="12813" width="10.5703125" style="1" customWidth="1"/>
    <col min="12814" max="12814" width="1.140625" style="1" customWidth="1"/>
    <col min="12815" max="12815" width="11.28515625" style="1" customWidth="1"/>
    <col min="12816" max="12816" width="12.7109375" style="1" customWidth="1"/>
    <col min="12817" max="12817" width="11.5703125" style="1" customWidth="1"/>
    <col min="12818" max="12818" width="12.42578125" style="1" customWidth="1"/>
    <col min="12819" max="12819" width="1.5703125" style="1" customWidth="1"/>
    <col min="12820" max="12820" width="11.42578125" style="1" customWidth="1"/>
    <col min="12821" max="12821" width="12.140625" style="1" customWidth="1"/>
    <col min="12822" max="12822" width="1.7109375" style="1" customWidth="1"/>
    <col min="12823" max="12823" width="13.5703125" style="1" customWidth="1"/>
    <col min="12824" max="13060" width="9.140625" style="1"/>
    <col min="13061" max="13061" width="9.28515625" style="1" customWidth="1"/>
    <col min="13062" max="13062" width="1.7109375" style="1" customWidth="1"/>
    <col min="13063" max="13066" width="12" style="1" customWidth="1"/>
    <col min="13067" max="13067" width="11.85546875" style="1" customWidth="1"/>
    <col min="13068" max="13068" width="10.7109375" style="1" customWidth="1"/>
    <col min="13069" max="13069" width="10.5703125" style="1" customWidth="1"/>
    <col min="13070" max="13070" width="1.140625" style="1" customWidth="1"/>
    <col min="13071" max="13071" width="11.28515625" style="1" customWidth="1"/>
    <col min="13072" max="13072" width="12.7109375" style="1" customWidth="1"/>
    <col min="13073" max="13073" width="11.5703125" style="1" customWidth="1"/>
    <col min="13074" max="13074" width="12.42578125" style="1" customWidth="1"/>
    <col min="13075" max="13075" width="1.5703125" style="1" customWidth="1"/>
    <col min="13076" max="13076" width="11.42578125" style="1" customWidth="1"/>
    <col min="13077" max="13077" width="12.140625" style="1" customWidth="1"/>
    <col min="13078" max="13078" width="1.7109375" style="1" customWidth="1"/>
    <col min="13079" max="13079" width="13.5703125" style="1" customWidth="1"/>
    <col min="13080" max="13316" width="9.140625" style="1"/>
    <col min="13317" max="13317" width="9.28515625" style="1" customWidth="1"/>
    <col min="13318" max="13318" width="1.7109375" style="1" customWidth="1"/>
    <col min="13319" max="13322" width="12" style="1" customWidth="1"/>
    <col min="13323" max="13323" width="11.85546875" style="1" customWidth="1"/>
    <col min="13324" max="13324" width="10.7109375" style="1" customWidth="1"/>
    <col min="13325" max="13325" width="10.5703125" style="1" customWidth="1"/>
    <col min="13326" max="13326" width="1.140625" style="1" customWidth="1"/>
    <col min="13327" max="13327" width="11.28515625" style="1" customWidth="1"/>
    <col min="13328" max="13328" width="12.7109375" style="1" customWidth="1"/>
    <col min="13329" max="13329" width="11.5703125" style="1" customWidth="1"/>
    <col min="13330" max="13330" width="12.42578125" style="1" customWidth="1"/>
    <col min="13331" max="13331" width="1.5703125" style="1" customWidth="1"/>
    <col min="13332" max="13332" width="11.42578125" style="1" customWidth="1"/>
    <col min="13333" max="13333" width="12.140625" style="1" customWidth="1"/>
    <col min="13334" max="13334" width="1.7109375" style="1" customWidth="1"/>
    <col min="13335" max="13335" width="13.5703125" style="1" customWidth="1"/>
    <col min="13336" max="13572" width="9.140625" style="1"/>
    <col min="13573" max="13573" width="9.28515625" style="1" customWidth="1"/>
    <col min="13574" max="13574" width="1.7109375" style="1" customWidth="1"/>
    <col min="13575" max="13578" width="12" style="1" customWidth="1"/>
    <col min="13579" max="13579" width="11.85546875" style="1" customWidth="1"/>
    <col min="13580" max="13580" width="10.7109375" style="1" customWidth="1"/>
    <col min="13581" max="13581" width="10.5703125" style="1" customWidth="1"/>
    <col min="13582" max="13582" width="1.140625" style="1" customWidth="1"/>
    <col min="13583" max="13583" width="11.28515625" style="1" customWidth="1"/>
    <col min="13584" max="13584" width="12.7109375" style="1" customWidth="1"/>
    <col min="13585" max="13585" width="11.5703125" style="1" customWidth="1"/>
    <col min="13586" max="13586" width="12.42578125" style="1" customWidth="1"/>
    <col min="13587" max="13587" width="1.5703125" style="1" customWidth="1"/>
    <col min="13588" max="13588" width="11.42578125" style="1" customWidth="1"/>
    <col min="13589" max="13589" width="12.140625" style="1" customWidth="1"/>
    <col min="13590" max="13590" width="1.7109375" style="1" customWidth="1"/>
    <col min="13591" max="13591" width="13.5703125" style="1" customWidth="1"/>
    <col min="13592" max="13828" width="9.140625" style="1"/>
    <col min="13829" max="13829" width="9.28515625" style="1" customWidth="1"/>
    <col min="13830" max="13830" width="1.7109375" style="1" customWidth="1"/>
    <col min="13831" max="13834" width="12" style="1" customWidth="1"/>
    <col min="13835" max="13835" width="11.85546875" style="1" customWidth="1"/>
    <col min="13836" max="13836" width="10.7109375" style="1" customWidth="1"/>
    <col min="13837" max="13837" width="10.5703125" style="1" customWidth="1"/>
    <col min="13838" max="13838" width="1.140625" style="1" customWidth="1"/>
    <col min="13839" max="13839" width="11.28515625" style="1" customWidth="1"/>
    <col min="13840" max="13840" width="12.7109375" style="1" customWidth="1"/>
    <col min="13841" max="13841" width="11.5703125" style="1" customWidth="1"/>
    <col min="13842" max="13842" width="12.42578125" style="1" customWidth="1"/>
    <col min="13843" max="13843" width="1.5703125" style="1" customWidth="1"/>
    <col min="13844" max="13844" width="11.42578125" style="1" customWidth="1"/>
    <col min="13845" max="13845" width="12.140625" style="1" customWidth="1"/>
    <col min="13846" max="13846" width="1.7109375" style="1" customWidth="1"/>
    <col min="13847" max="13847" width="13.5703125" style="1" customWidth="1"/>
    <col min="13848" max="14084" width="9.140625" style="1"/>
    <col min="14085" max="14085" width="9.28515625" style="1" customWidth="1"/>
    <col min="14086" max="14086" width="1.7109375" style="1" customWidth="1"/>
    <col min="14087" max="14090" width="12" style="1" customWidth="1"/>
    <col min="14091" max="14091" width="11.85546875" style="1" customWidth="1"/>
    <col min="14092" max="14092" width="10.7109375" style="1" customWidth="1"/>
    <col min="14093" max="14093" width="10.5703125" style="1" customWidth="1"/>
    <col min="14094" max="14094" width="1.140625" style="1" customWidth="1"/>
    <col min="14095" max="14095" width="11.28515625" style="1" customWidth="1"/>
    <col min="14096" max="14096" width="12.7109375" style="1" customWidth="1"/>
    <col min="14097" max="14097" width="11.5703125" style="1" customWidth="1"/>
    <col min="14098" max="14098" width="12.42578125" style="1" customWidth="1"/>
    <col min="14099" max="14099" width="1.5703125" style="1" customWidth="1"/>
    <col min="14100" max="14100" width="11.42578125" style="1" customWidth="1"/>
    <col min="14101" max="14101" width="12.140625" style="1" customWidth="1"/>
    <col min="14102" max="14102" width="1.7109375" style="1" customWidth="1"/>
    <col min="14103" max="14103" width="13.5703125" style="1" customWidth="1"/>
    <col min="14104" max="14340" width="9.140625" style="1"/>
    <col min="14341" max="14341" width="9.28515625" style="1" customWidth="1"/>
    <col min="14342" max="14342" width="1.7109375" style="1" customWidth="1"/>
    <col min="14343" max="14346" width="12" style="1" customWidth="1"/>
    <col min="14347" max="14347" width="11.85546875" style="1" customWidth="1"/>
    <col min="14348" max="14348" width="10.7109375" style="1" customWidth="1"/>
    <col min="14349" max="14349" width="10.5703125" style="1" customWidth="1"/>
    <col min="14350" max="14350" width="1.140625" style="1" customWidth="1"/>
    <col min="14351" max="14351" width="11.28515625" style="1" customWidth="1"/>
    <col min="14352" max="14352" width="12.7109375" style="1" customWidth="1"/>
    <col min="14353" max="14353" width="11.5703125" style="1" customWidth="1"/>
    <col min="14354" max="14354" width="12.42578125" style="1" customWidth="1"/>
    <col min="14355" max="14355" width="1.5703125" style="1" customWidth="1"/>
    <col min="14356" max="14356" width="11.42578125" style="1" customWidth="1"/>
    <col min="14357" max="14357" width="12.140625" style="1" customWidth="1"/>
    <col min="14358" max="14358" width="1.7109375" style="1" customWidth="1"/>
    <col min="14359" max="14359" width="13.5703125" style="1" customWidth="1"/>
    <col min="14360" max="14596" width="9.140625" style="1"/>
    <col min="14597" max="14597" width="9.28515625" style="1" customWidth="1"/>
    <col min="14598" max="14598" width="1.7109375" style="1" customWidth="1"/>
    <col min="14599" max="14602" width="12" style="1" customWidth="1"/>
    <col min="14603" max="14603" width="11.85546875" style="1" customWidth="1"/>
    <col min="14604" max="14604" width="10.7109375" style="1" customWidth="1"/>
    <col min="14605" max="14605" width="10.5703125" style="1" customWidth="1"/>
    <col min="14606" max="14606" width="1.140625" style="1" customWidth="1"/>
    <col min="14607" max="14607" width="11.28515625" style="1" customWidth="1"/>
    <col min="14608" max="14608" width="12.7109375" style="1" customWidth="1"/>
    <col min="14609" max="14609" width="11.5703125" style="1" customWidth="1"/>
    <col min="14610" max="14610" width="12.42578125" style="1" customWidth="1"/>
    <col min="14611" max="14611" width="1.5703125" style="1" customWidth="1"/>
    <col min="14612" max="14612" width="11.42578125" style="1" customWidth="1"/>
    <col min="14613" max="14613" width="12.140625" style="1" customWidth="1"/>
    <col min="14614" max="14614" width="1.7109375" style="1" customWidth="1"/>
    <col min="14615" max="14615" width="13.5703125" style="1" customWidth="1"/>
    <col min="14616" max="14852" width="9.140625" style="1"/>
    <col min="14853" max="14853" width="9.28515625" style="1" customWidth="1"/>
    <col min="14854" max="14854" width="1.7109375" style="1" customWidth="1"/>
    <col min="14855" max="14858" width="12" style="1" customWidth="1"/>
    <col min="14859" max="14859" width="11.85546875" style="1" customWidth="1"/>
    <col min="14860" max="14860" width="10.7109375" style="1" customWidth="1"/>
    <col min="14861" max="14861" width="10.5703125" style="1" customWidth="1"/>
    <col min="14862" max="14862" width="1.140625" style="1" customWidth="1"/>
    <col min="14863" max="14863" width="11.28515625" style="1" customWidth="1"/>
    <col min="14864" max="14864" width="12.7109375" style="1" customWidth="1"/>
    <col min="14865" max="14865" width="11.5703125" style="1" customWidth="1"/>
    <col min="14866" max="14866" width="12.42578125" style="1" customWidth="1"/>
    <col min="14867" max="14867" width="1.5703125" style="1" customWidth="1"/>
    <col min="14868" max="14868" width="11.42578125" style="1" customWidth="1"/>
    <col min="14869" max="14869" width="12.140625" style="1" customWidth="1"/>
    <col min="14870" max="14870" width="1.7109375" style="1" customWidth="1"/>
    <col min="14871" max="14871" width="13.5703125" style="1" customWidth="1"/>
    <col min="14872" max="15108" width="9.140625" style="1"/>
    <col min="15109" max="15109" width="9.28515625" style="1" customWidth="1"/>
    <col min="15110" max="15110" width="1.7109375" style="1" customWidth="1"/>
    <col min="15111" max="15114" width="12" style="1" customWidth="1"/>
    <col min="15115" max="15115" width="11.85546875" style="1" customWidth="1"/>
    <col min="15116" max="15116" width="10.7109375" style="1" customWidth="1"/>
    <col min="15117" max="15117" width="10.5703125" style="1" customWidth="1"/>
    <col min="15118" max="15118" width="1.140625" style="1" customWidth="1"/>
    <col min="15119" max="15119" width="11.28515625" style="1" customWidth="1"/>
    <col min="15120" max="15120" width="12.7109375" style="1" customWidth="1"/>
    <col min="15121" max="15121" width="11.5703125" style="1" customWidth="1"/>
    <col min="15122" max="15122" width="12.42578125" style="1" customWidth="1"/>
    <col min="15123" max="15123" width="1.5703125" style="1" customWidth="1"/>
    <col min="15124" max="15124" width="11.42578125" style="1" customWidth="1"/>
    <col min="15125" max="15125" width="12.140625" style="1" customWidth="1"/>
    <col min="15126" max="15126" width="1.7109375" style="1" customWidth="1"/>
    <col min="15127" max="15127" width="13.5703125" style="1" customWidth="1"/>
    <col min="15128" max="15364" width="9.140625" style="1"/>
    <col min="15365" max="15365" width="9.28515625" style="1" customWidth="1"/>
    <col min="15366" max="15366" width="1.7109375" style="1" customWidth="1"/>
    <col min="15367" max="15370" width="12" style="1" customWidth="1"/>
    <col min="15371" max="15371" width="11.85546875" style="1" customWidth="1"/>
    <col min="15372" max="15372" width="10.7109375" style="1" customWidth="1"/>
    <col min="15373" max="15373" width="10.5703125" style="1" customWidth="1"/>
    <col min="15374" max="15374" width="1.140625" style="1" customWidth="1"/>
    <col min="15375" max="15375" width="11.28515625" style="1" customWidth="1"/>
    <col min="15376" max="15376" width="12.7109375" style="1" customWidth="1"/>
    <col min="15377" max="15377" width="11.5703125" style="1" customWidth="1"/>
    <col min="15378" max="15378" width="12.42578125" style="1" customWidth="1"/>
    <col min="15379" max="15379" width="1.5703125" style="1" customWidth="1"/>
    <col min="15380" max="15380" width="11.42578125" style="1" customWidth="1"/>
    <col min="15381" max="15381" width="12.140625" style="1" customWidth="1"/>
    <col min="15382" max="15382" width="1.7109375" style="1" customWidth="1"/>
    <col min="15383" max="15383" width="13.5703125" style="1" customWidth="1"/>
    <col min="15384" max="15620" width="9.140625" style="1"/>
    <col min="15621" max="15621" width="9.28515625" style="1" customWidth="1"/>
    <col min="15622" max="15622" width="1.7109375" style="1" customWidth="1"/>
    <col min="15623" max="15626" width="12" style="1" customWidth="1"/>
    <col min="15627" max="15627" width="11.85546875" style="1" customWidth="1"/>
    <col min="15628" max="15628" width="10.7109375" style="1" customWidth="1"/>
    <col min="15629" max="15629" width="10.5703125" style="1" customWidth="1"/>
    <col min="15630" max="15630" width="1.140625" style="1" customWidth="1"/>
    <col min="15631" max="15631" width="11.28515625" style="1" customWidth="1"/>
    <col min="15632" max="15632" width="12.7109375" style="1" customWidth="1"/>
    <col min="15633" max="15633" width="11.5703125" style="1" customWidth="1"/>
    <col min="15634" max="15634" width="12.42578125" style="1" customWidth="1"/>
    <col min="15635" max="15635" width="1.5703125" style="1" customWidth="1"/>
    <col min="15636" max="15636" width="11.42578125" style="1" customWidth="1"/>
    <col min="15637" max="15637" width="12.140625" style="1" customWidth="1"/>
    <col min="15638" max="15638" width="1.7109375" style="1" customWidth="1"/>
    <col min="15639" max="15639" width="13.5703125" style="1" customWidth="1"/>
    <col min="15640" max="15876" width="9.140625" style="1"/>
    <col min="15877" max="15877" width="9.28515625" style="1" customWidth="1"/>
    <col min="15878" max="15878" width="1.7109375" style="1" customWidth="1"/>
    <col min="15879" max="15882" width="12" style="1" customWidth="1"/>
    <col min="15883" max="15883" width="11.85546875" style="1" customWidth="1"/>
    <col min="15884" max="15884" width="10.7109375" style="1" customWidth="1"/>
    <col min="15885" max="15885" width="10.5703125" style="1" customWidth="1"/>
    <col min="15886" max="15886" width="1.140625" style="1" customWidth="1"/>
    <col min="15887" max="15887" width="11.28515625" style="1" customWidth="1"/>
    <col min="15888" max="15888" width="12.7109375" style="1" customWidth="1"/>
    <col min="15889" max="15889" width="11.5703125" style="1" customWidth="1"/>
    <col min="15890" max="15890" width="12.42578125" style="1" customWidth="1"/>
    <col min="15891" max="15891" width="1.5703125" style="1" customWidth="1"/>
    <col min="15892" max="15892" width="11.42578125" style="1" customWidth="1"/>
    <col min="15893" max="15893" width="12.140625" style="1" customWidth="1"/>
    <col min="15894" max="15894" width="1.7109375" style="1" customWidth="1"/>
    <col min="15895" max="15895" width="13.5703125" style="1" customWidth="1"/>
    <col min="15896" max="16132" width="9.140625" style="1"/>
    <col min="16133" max="16133" width="9.28515625" style="1" customWidth="1"/>
    <col min="16134" max="16134" width="1.7109375" style="1" customWidth="1"/>
    <col min="16135" max="16138" width="12" style="1" customWidth="1"/>
    <col min="16139" max="16139" width="11.85546875" style="1" customWidth="1"/>
    <col min="16140" max="16140" width="10.7109375" style="1" customWidth="1"/>
    <col min="16141" max="16141" width="10.5703125" style="1" customWidth="1"/>
    <col min="16142" max="16142" width="1.140625" style="1" customWidth="1"/>
    <col min="16143" max="16143" width="11.28515625" style="1" customWidth="1"/>
    <col min="16144" max="16144" width="12.7109375" style="1" customWidth="1"/>
    <col min="16145" max="16145" width="11.5703125" style="1" customWidth="1"/>
    <col min="16146" max="16146" width="12.42578125" style="1" customWidth="1"/>
    <col min="16147" max="16147" width="1.5703125" style="1" customWidth="1"/>
    <col min="16148" max="16148" width="11.42578125" style="1" customWidth="1"/>
    <col min="16149" max="16149" width="12.140625" style="1" customWidth="1"/>
    <col min="16150" max="16150" width="1.7109375" style="1" customWidth="1"/>
    <col min="16151" max="16151" width="13.5703125" style="1" customWidth="1"/>
    <col min="16152" max="16384" width="9.140625" style="1"/>
  </cols>
  <sheetData>
    <row r="1" spans="1:23" ht="18" x14ac:dyDescent="0.25">
      <c r="A1" s="86" t="s">
        <v>0</v>
      </c>
      <c r="B1" s="86"/>
      <c r="C1" s="86"/>
      <c r="D1" s="86"/>
      <c r="E1" s="86"/>
      <c r="F1" s="86"/>
      <c r="G1" s="86"/>
      <c r="H1" s="86"/>
      <c r="I1" s="86"/>
      <c r="J1" s="86"/>
      <c r="K1" s="86"/>
      <c r="L1" s="86"/>
      <c r="M1" s="86"/>
      <c r="N1" s="86"/>
      <c r="O1" s="86"/>
      <c r="P1" s="86"/>
      <c r="Q1" s="86"/>
      <c r="R1" s="86"/>
      <c r="S1" s="86"/>
      <c r="T1" s="86"/>
      <c r="U1" s="86"/>
      <c r="V1" s="86"/>
      <c r="W1" s="86"/>
    </row>
    <row r="2" spans="1:23" ht="15.75" x14ac:dyDescent="0.25">
      <c r="A2" s="87" t="s">
        <v>1</v>
      </c>
      <c r="B2" s="87"/>
      <c r="C2" s="87"/>
      <c r="D2" s="87"/>
      <c r="E2" s="87"/>
      <c r="F2" s="87"/>
      <c r="G2" s="87"/>
      <c r="H2" s="87"/>
      <c r="I2" s="87"/>
      <c r="J2" s="87"/>
      <c r="K2" s="87"/>
      <c r="L2" s="87"/>
      <c r="M2" s="87"/>
      <c r="N2" s="87"/>
      <c r="O2" s="87"/>
      <c r="P2" s="87"/>
      <c r="Q2" s="87"/>
      <c r="R2" s="87"/>
      <c r="S2" s="87"/>
      <c r="T2" s="87"/>
      <c r="U2" s="87"/>
      <c r="V2" s="87"/>
      <c r="W2" s="87"/>
    </row>
    <row r="3" spans="1:23" s="2" customFormat="1" ht="15.75" x14ac:dyDescent="0.25">
      <c r="A3" s="87" t="s">
        <v>2</v>
      </c>
      <c r="B3" s="87"/>
      <c r="C3" s="87"/>
      <c r="D3" s="87"/>
      <c r="E3" s="87"/>
      <c r="F3" s="87"/>
      <c r="G3" s="87"/>
      <c r="H3" s="87"/>
      <c r="I3" s="87"/>
      <c r="J3" s="87"/>
      <c r="K3" s="87"/>
      <c r="L3" s="87"/>
      <c r="M3" s="87"/>
      <c r="N3" s="87"/>
      <c r="O3" s="87"/>
      <c r="P3" s="87"/>
      <c r="Q3" s="87"/>
      <c r="R3" s="87"/>
      <c r="S3" s="87"/>
      <c r="T3" s="87"/>
      <c r="U3" s="87"/>
      <c r="V3" s="87"/>
      <c r="W3" s="87"/>
    </row>
    <row r="4" spans="1:23" s="2" customFormat="1" ht="14.25" customHeight="1" x14ac:dyDescent="0.25">
      <c r="A4" s="88" t="s">
        <v>3</v>
      </c>
      <c r="B4" s="88"/>
      <c r="C4" s="88"/>
      <c r="D4" s="88"/>
      <c r="E4" s="88"/>
      <c r="F4" s="88"/>
      <c r="G4" s="88"/>
      <c r="H4" s="88"/>
      <c r="I4" s="88"/>
      <c r="J4" s="88"/>
      <c r="K4" s="88"/>
      <c r="L4" s="88"/>
      <c r="M4" s="88"/>
      <c r="N4" s="88"/>
      <c r="O4" s="88"/>
      <c r="P4" s="88"/>
      <c r="Q4" s="88"/>
      <c r="R4" s="88"/>
      <c r="S4" s="88"/>
      <c r="T4" s="88"/>
      <c r="U4" s="88"/>
      <c r="V4" s="88"/>
      <c r="W4" s="88"/>
    </row>
    <row r="5" spans="1:23" s="2" customFormat="1" x14ac:dyDescent="0.25">
      <c r="A5" s="89" t="s">
        <v>4</v>
      </c>
      <c r="B5" s="89"/>
      <c r="C5" s="89"/>
      <c r="D5" s="89"/>
      <c r="E5" s="89"/>
      <c r="F5" s="89"/>
      <c r="G5" s="89"/>
      <c r="H5" s="89"/>
      <c r="I5" s="89"/>
      <c r="J5" s="89"/>
      <c r="K5" s="89"/>
      <c r="L5" s="89"/>
      <c r="M5" s="89"/>
      <c r="N5" s="89"/>
      <c r="O5" s="89"/>
      <c r="P5" s="89"/>
      <c r="Q5" s="89"/>
      <c r="R5" s="89"/>
      <c r="S5" s="89"/>
      <c r="T5" s="89"/>
      <c r="U5" s="89"/>
      <c r="V5" s="89"/>
      <c r="W5" s="89"/>
    </row>
    <row r="6" spans="1:23" s="2" customFormat="1" x14ac:dyDescent="0.25">
      <c r="A6" s="82"/>
      <c r="B6" s="82"/>
      <c r="C6" s="82"/>
      <c r="D6" s="82"/>
      <c r="E6" s="82"/>
      <c r="F6" s="82"/>
      <c r="G6" s="82"/>
      <c r="H6" s="82"/>
      <c r="I6" s="82"/>
      <c r="J6" s="82"/>
      <c r="K6" s="82"/>
      <c r="L6" s="82"/>
      <c r="M6" s="82"/>
      <c r="N6" s="82"/>
      <c r="O6" s="82"/>
      <c r="P6" s="82"/>
      <c r="Q6" s="82"/>
      <c r="R6" s="82"/>
      <c r="S6" s="82"/>
      <c r="T6" s="82"/>
      <c r="U6" s="82"/>
    </row>
    <row r="7" spans="1:23" s="2" customFormat="1" x14ac:dyDescent="0.25">
      <c r="A7" s="4"/>
      <c r="B7" s="4"/>
      <c r="C7" s="5"/>
      <c r="D7" s="5"/>
      <c r="E7" s="5"/>
      <c r="F7" s="5"/>
      <c r="G7" s="5"/>
      <c r="H7" s="6"/>
      <c r="I7" s="7"/>
      <c r="J7" s="6"/>
      <c r="K7" s="6"/>
      <c r="L7" s="6"/>
      <c r="M7" s="6"/>
      <c r="N7" s="6"/>
      <c r="O7" s="6"/>
      <c r="P7" s="6"/>
      <c r="Q7" s="6"/>
      <c r="R7" s="6"/>
      <c r="S7" s="6"/>
      <c r="T7" s="6"/>
      <c r="U7" s="6"/>
    </row>
    <row r="8" spans="1:23" s="8" customFormat="1" ht="14.25" customHeight="1" x14ac:dyDescent="0.25">
      <c r="A8" s="83" t="s">
        <v>84</v>
      </c>
      <c r="B8" s="84"/>
      <c r="C8" s="84"/>
      <c r="D8" s="84"/>
      <c r="E8" s="84"/>
      <c r="F8" s="84"/>
      <c r="G8" s="84"/>
      <c r="H8" s="84"/>
      <c r="I8" s="84"/>
      <c r="J8" s="84"/>
      <c r="K8" s="84"/>
      <c r="L8" s="84"/>
      <c r="M8" s="84"/>
      <c r="N8" s="84"/>
      <c r="O8" s="84"/>
      <c r="P8" s="84"/>
      <c r="Q8" s="84"/>
      <c r="R8" s="84"/>
      <c r="S8" s="84"/>
      <c r="T8" s="84"/>
      <c r="U8" s="84"/>
      <c r="V8" s="84"/>
      <c r="W8" s="85"/>
    </row>
    <row r="9" spans="1:23" s="2" customFormat="1" ht="9" customHeight="1" x14ac:dyDescent="0.25">
      <c r="A9" s="4"/>
      <c r="B9" s="4"/>
      <c r="C9" s="5"/>
      <c r="D9" s="5"/>
      <c r="E9" s="5"/>
      <c r="F9" s="5"/>
      <c r="G9" s="5"/>
      <c r="H9" s="6"/>
      <c r="I9" s="7"/>
      <c r="J9" s="6"/>
      <c r="K9" s="6"/>
      <c r="L9" s="6"/>
      <c r="M9" s="6"/>
      <c r="N9" s="6"/>
      <c r="O9" s="6"/>
      <c r="P9" s="6"/>
      <c r="Q9" s="6"/>
      <c r="R9" s="6"/>
      <c r="S9" s="6"/>
      <c r="T9" s="6"/>
      <c r="U9" s="6"/>
    </row>
    <row r="10" spans="1:23" s="13" customFormat="1" ht="12.75" x14ac:dyDescent="0.2">
      <c r="A10" s="9"/>
      <c r="B10" s="9"/>
      <c r="C10" s="91" t="s">
        <v>6</v>
      </c>
      <c r="D10" s="92"/>
      <c r="E10" s="92"/>
      <c r="F10" s="92"/>
      <c r="G10" s="92"/>
      <c r="H10" s="92"/>
      <c r="I10" s="92"/>
      <c r="J10" s="10"/>
      <c r="K10" s="11"/>
      <c r="L10" s="91" t="s">
        <v>7</v>
      </c>
      <c r="M10" s="92"/>
      <c r="N10" s="92"/>
      <c r="O10" s="93"/>
      <c r="P10" s="12"/>
      <c r="Q10" s="91" t="s">
        <v>8</v>
      </c>
      <c r="R10" s="93"/>
      <c r="S10" s="67"/>
      <c r="T10" s="91" t="s">
        <v>70</v>
      </c>
      <c r="U10" s="93"/>
    </row>
    <row r="11" spans="1:23" s="18" customFormat="1" ht="12" x14ac:dyDescent="0.2">
      <c r="A11" s="14"/>
      <c r="B11" s="14"/>
      <c r="C11" s="15"/>
      <c r="D11" s="16" t="s">
        <v>9</v>
      </c>
      <c r="E11" s="15"/>
      <c r="F11" s="16" t="s">
        <v>10</v>
      </c>
      <c r="G11" s="15"/>
      <c r="H11" s="17" t="s">
        <v>11</v>
      </c>
      <c r="I11" s="15"/>
      <c r="J11" s="15"/>
      <c r="K11" s="15"/>
      <c r="L11" s="16" t="s">
        <v>10</v>
      </c>
      <c r="M11" s="16"/>
      <c r="N11" s="16" t="s">
        <v>9</v>
      </c>
      <c r="O11" s="16" t="s">
        <v>10</v>
      </c>
      <c r="Q11" s="16" t="s">
        <v>10</v>
      </c>
      <c r="R11" s="16" t="s">
        <v>10</v>
      </c>
      <c r="S11" s="16"/>
      <c r="T11" s="16" t="s">
        <v>77</v>
      </c>
      <c r="U11" s="16" t="s">
        <v>77</v>
      </c>
      <c r="W11" s="16" t="s">
        <v>10</v>
      </c>
    </row>
    <row r="12" spans="1:23" s="21" customFormat="1" ht="12" x14ac:dyDescent="0.2">
      <c r="A12" s="19"/>
      <c r="B12" s="19"/>
      <c r="C12" s="16" t="s">
        <v>12</v>
      </c>
      <c r="D12" s="20" t="s">
        <v>13</v>
      </c>
      <c r="E12" s="16" t="s">
        <v>12</v>
      </c>
      <c r="F12" s="16" t="s">
        <v>14</v>
      </c>
      <c r="G12" s="16"/>
      <c r="H12" s="17" t="s">
        <v>15</v>
      </c>
      <c r="I12" s="16" t="s">
        <v>16</v>
      </c>
      <c r="J12" s="16"/>
      <c r="K12" s="16"/>
      <c r="L12" s="21" t="s">
        <v>11</v>
      </c>
      <c r="M12" s="16" t="s">
        <v>17</v>
      </c>
      <c r="N12" s="16" t="s">
        <v>17</v>
      </c>
      <c r="O12" s="16" t="s">
        <v>17</v>
      </c>
      <c r="Q12" s="21" t="s">
        <v>11</v>
      </c>
      <c r="R12" s="16" t="s">
        <v>18</v>
      </c>
      <c r="S12" s="16"/>
      <c r="T12" s="16" t="s">
        <v>78</v>
      </c>
      <c r="U12" s="16" t="s">
        <v>78</v>
      </c>
      <c r="W12" s="16" t="s">
        <v>10</v>
      </c>
    </row>
    <row r="13" spans="1:23" s="21" customFormat="1" ht="12" x14ac:dyDescent="0.2">
      <c r="A13" s="22" t="s">
        <v>19</v>
      </c>
      <c r="B13" s="22"/>
      <c r="C13" s="23" t="s">
        <v>20</v>
      </c>
      <c r="D13" s="23" t="s">
        <v>12</v>
      </c>
      <c r="E13" s="23" t="s">
        <v>21</v>
      </c>
      <c r="F13" s="23" t="s">
        <v>22</v>
      </c>
      <c r="G13" s="23"/>
      <c r="H13" s="24" t="s">
        <v>23</v>
      </c>
      <c r="I13" s="23" t="s">
        <v>24</v>
      </c>
      <c r="J13" s="20"/>
      <c r="K13" s="20"/>
      <c r="L13" s="23" t="s">
        <v>25</v>
      </c>
      <c r="M13" s="23" t="s">
        <v>26</v>
      </c>
      <c r="N13" s="23" t="s">
        <v>12</v>
      </c>
      <c r="O13" s="23" t="s">
        <v>22</v>
      </c>
      <c r="P13" s="25"/>
      <c r="Q13" s="23" t="s">
        <v>8</v>
      </c>
      <c r="R13" s="23" t="s">
        <v>22</v>
      </c>
      <c r="S13" s="20"/>
      <c r="T13" s="23" t="s">
        <v>79</v>
      </c>
      <c r="U13" s="23" t="s">
        <v>22</v>
      </c>
      <c r="W13" s="23" t="s">
        <v>27</v>
      </c>
    </row>
    <row r="14" spans="1:23" x14ac:dyDescent="0.25">
      <c r="A14" s="4">
        <v>45383</v>
      </c>
      <c r="C14" s="26">
        <v>108050050.33000001</v>
      </c>
      <c r="D14" s="26">
        <v>1331695.96</v>
      </c>
      <c r="E14" s="26">
        <v>98688843.670000002</v>
      </c>
      <c r="F14" s="26">
        <v>8029510.7000000011</v>
      </c>
      <c r="G14" s="26"/>
      <c r="H14" s="27">
        <v>893</v>
      </c>
      <c r="I14" s="26">
        <v>299.72044419559541</v>
      </c>
      <c r="J14" s="26"/>
      <c r="L14" s="27">
        <v>29</v>
      </c>
      <c r="M14" s="26">
        <v>5667539</v>
      </c>
      <c r="N14" s="26">
        <v>159670</v>
      </c>
      <c r="O14" s="26">
        <v>1098466.5</v>
      </c>
      <c r="Q14" s="27">
        <v>6</v>
      </c>
      <c r="R14" s="26">
        <v>49208</v>
      </c>
      <c r="S14" s="26"/>
      <c r="T14" s="26">
        <v>741171.75</v>
      </c>
      <c r="U14" s="26">
        <v>128075</v>
      </c>
      <c r="W14" s="26">
        <f t="shared" ref="W14:W25" si="0">F14+O14+R14+U14</f>
        <v>9305260.2000000011</v>
      </c>
    </row>
    <row r="15" spans="1:23" x14ac:dyDescent="0.25">
      <c r="A15" s="4">
        <v>45414</v>
      </c>
      <c r="C15" s="26">
        <v>108123208.13000001</v>
      </c>
      <c r="D15" s="26">
        <v>1375567.68</v>
      </c>
      <c r="E15" s="26">
        <v>98445023.269999996</v>
      </c>
      <c r="F15" s="26">
        <v>8302617.1800000034</v>
      </c>
      <c r="G15" s="29"/>
      <c r="H15" s="27">
        <v>893</v>
      </c>
      <c r="I15" s="26">
        <v>299.91753711664211</v>
      </c>
      <c r="J15" s="26"/>
      <c r="K15" s="29"/>
      <c r="L15" s="27">
        <v>29</v>
      </c>
      <c r="M15" s="26">
        <v>5118769</v>
      </c>
      <c r="N15" s="26">
        <v>215945</v>
      </c>
      <c r="O15" s="26">
        <v>984219.25</v>
      </c>
      <c r="P15" s="29"/>
      <c r="Q15" s="79">
        <v>6</v>
      </c>
      <c r="R15" s="26">
        <v>44771</v>
      </c>
      <c r="S15" s="26"/>
      <c r="T15" s="26">
        <v>375621.25</v>
      </c>
      <c r="U15" s="26">
        <v>50292.25</v>
      </c>
      <c r="W15" s="26">
        <f t="shared" si="0"/>
        <v>9381899.6800000034</v>
      </c>
    </row>
    <row r="16" spans="1:23" x14ac:dyDescent="0.25">
      <c r="A16" s="4">
        <v>45445</v>
      </c>
      <c r="C16" s="26">
        <v>106515811.97</v>
      </c>
      <c r="D16" s="26">
        <v>1401170.38</v>
      </c>
      <c r="E16" s="26">
        <v>97000157.870000005</v>
      </c>
      <c r="F16" s="26">
        <v>8114483.7200000007</v>
      </c>
      <c r="G16" s="29"/>
      <c r="H16" s="27">
        <v>893</v>
      </c>
      <c r="I16" s="26">
        <v>302.89226278462115</v>
      </c>
      <c r="J16" s="26"/>
      <c r="K16" s="29"/>
      <c r="L16" s="27">
        <v>29</v>
      </c>
      <c r="M16" s="26">
        <v>5620693</v>
      </c>
      <c r="N16" s="26">
        <v>239405</v>
      </c>
      <c r="O16" s="26">
        <v>795394.1</v>
      </c>
      <c r="P16" s="29"/>
      <c r="Q16" s="27">
        <v>6</v>
      </c>
      <c r="R16" s="26">
        <v>37775</v>
      </c>
      <c r="S16" s="26"/>
      <c r="T16" s="26">
        <v>316912.75</v>
      </c>
      <c r="U16" s="26">
        <v>17791</v>
      </c>
      <c r="W16" s="26">
        <f t="shared" si="0"/>
        <v>8965443.8200000003</v>
      </c>
    </row>
    <row r="17" spans="1:23" x14ac:dyDescent="0.25">
      <c r="A17" s="4">
        <v>45476</v>
      </c>
      <c r="C17" s="26">
        <v>104165539.80999999</v>
      </c>
      <c r="D17" s="26">
        <v>1323340.26</v>
      </c>
      <c r="E17" s="26">
        <v>94998968.159999996</v>
      </c>
      <c r="F17" s="26">
        <v>7843231.3899999997</v>
      </c>
      <c r="G17" s="30"/>
      <c r="H17" s="27">
        <v>893</v>
      </c>
      <c r="I17" s="26">
        <v>283.32302821226023</v>
      </c>
      <c r="J17" s="26"/>
      <c r="K17" s="30"/>
      <c r="L17" s="27">
        <v>29</v>
      </c>
      <c r="M17" s="26">
        <v>5693516</v>
      </c>
      <c r="N17" s="26">
        <v>228010</v>
      </c>
      <c r="O17" s="26">
        <v>976889.5</v>
      </c>
      <c r="P17" s="30"/>
      <c r="Q17" s="27">
        <v>6</v>
      </c>
      <c r="R17" s="26">
        <v>42881</v>
      </c>
      <c r="S17" s="26"/>
      <c r="T17" s="26">
        <v>347744.25</v>
      </c>
      <c r="U17" s="26">
        <v>77151.5</v>
      </c>
      <c r="V17" s="30"/>
      <c r="W17" s="26">
        <f t="shared" si="0"/>
        <v>8940153.3900000006</v>
      </c>
    </row>
    <row r="18" spans="1:23" x14ac:dyDescent="0.25">
      <c r="A18" s="4">
        <v>45507</v>
      </c>
      <c r="C18" s="26"/>
      <c r="D18" s="26"/>
      <c r="E18" s="26"/>
      <c r="F18" s="26"/>
      <c r="G18" s="30"/>
      <c r="H18" s="27"/>
      <c r="I18" s="26"/>
      <c r="J18" s="26"/>
      <c r="K18" s="30"/>
      <c r="L18" s="27"/>
      <c r="M18" s="26"/>
      <c r="N18" s="26"/>
      <c r="O18" s="26"/>
      <c r="P18" s="30"/>
      <c r="Q18" s="27"/>
      <c r="R18" s="26"/>
      <c r="S18" s="26"/>
      <c r="T18" s="26"/>
      <c r="U18" s="26"/>
      <c r="V18" s="30"/>
      <c r="W18" s="26">
        <f t="shared" si="0"/>
        <v>0</v>
      </c>
    </row>
    <row r="19" spans="1:23" x14ac:dyDescent="0.25">
      <c r="A19" s="4">
        <v>45538</v>
      </c>
      <c r="C19" s="26"/>
      <c r="D19" s="26"/>
      <c r="E19" s="26"/>
      <c r="F19" s="26"/>
      <c r="G19" s="30"/>
      <c r="H19" s="27"/>
      <c r="I19" s="80"/>
      <c r="J19" s="26"/>
      <c r="K19" s="30"/>
      <c r="L19" s="27"/>
      <c r="M19" s="26"/>
      <c r="N19" s="26"/>
      <c r="O19" s="26"/>
      <c r="P19" s="30"/>
      <c r="Q19" s="27"/>
      <c r="R19" s="26"/>
      <c r="S19" s="26"/>
      <c r="T19" s="26"/>
      <c r="U19" s="26"/>
      <c r="V19" s="30"/>
      <c r="W19" s="26">
        <f t="shared" si="0"/>
        <v>0</v>
      </c>
    </row>
    <row r="20" spans="1:23" x14ac:dyDescent="0.25">
      <c r="A20" s="4">
        <v>45569</v>
      </c>
      <c r="C20" s="26"/>
      <c r="D20" s="26"/>
      <c r="E20" s="26"/>
      <c r="F20" s="26"/>
      <c r="G20" s="30"/>
      <c r="H20" s="27"/>
      <c r="I20" s="80"/>
      <c r="J20" s="26"/>
      <c r="K20" s="30"/>
      <c r="L20" s="27"/>
      <c r="M20" s="26"/>
      <c r="N20" s="26"/>
      <c r="O20" s="26"/>
      <c r="P20" s="30"/>
      <c r="Q20" s="27"/>
      <c r="R20" s="26"/>
      <c r="S20" s="26"/>
      <c r="T20" s="26"/>
      <c r="U20" s="26"/>
      <c r="V20" s="30"/>
      <c r="W20" s="26">
        <f>F20+O20+R20+U20</f>
        <v>0</v>
      </c>
    </row>
    <row r="21" spans="1:23" x14ac:dyDescent="0.25">
      <c r="A21" s="4">
        <v>45600</v>
      </c>
      <c r="C21" s="26"/>
      <c r="D21" s="26"/>
      <c r="E21" s="26"/>
      <c r="F21" s="26"/>
      <c r="G21" s="30"/>
      <c r="H21" s="27"/>
      <c r="I21" s="80"/>
      <c r="J21" s="26"/>
      <c r="K21" s="30"/>
      <c r="L21" s="27"/>
      <c r="M21" s="26"/>
      <c r="N21" s="26"/>
      <c r="O21" s="26"/>
      <c r="P21" s="30"/>
      <c r="Q21" s="27"/>
      <c r="R21" s="26"/>
      <c r="S21" s="26"/>
      <c r="T21" s="26"/>
      <c r="U21" s="26"/>
      <c r="V21" s="30"/>
      <c r="W21" s="26">
        <f t="shared" si="0"/>
        <v>0</v>
      </c>
    </row>
    <row r="22" spans="1:23" x14ac:dyDescent="0.25">
      <c r="A22" s="4">
        <v>45631</v>
      </c>
      <c r="C22" s="26"/>
      <c r="D22" s="26"/>
      <c r="E22" s="26"/>
      <c r="F22" s="26"/>
      <c r="G22" s="30"/>
      <c r="H22" s="27"/>
      <c r="I22" s="26"/>
      <c r="J22" s="26"/>
      <c r="K22" s="30"/>
      <c r="L22" s="27"/>
      <c r="M22" s="26"/>
      <c r="N22" s="26"/>
      <c r="O22" s="26"/>
      <c r="P22" s="30"/>
      <c r="Q22" s="27"/>
      <c r="R22" s="26"/>
      <c r="S22" s="26"/>
      <c r="T22" s="26"/>
      <c r="U22" s="26"/>
      <c r="V22" s="30"/>
      <c r="W22" s="26">
        <f t="shared" si="0"/>
        <v>0</v>
      </c>
    </row>
    <row r="23" spans="1:23" x14ac:dyDescent="0.25">
      <c r="A23" s="4">
        <v>45662</v>
      </c>
      <c r="C23" s="26"/>
      <c r="D23" s="26"/>
      <c r="E23" s="26"/>
      <c r="F23" s="26"/>
      <c r="G23" s="30"/>
      <c r="H23" s="27"/>
      <c r="I23" s="26"/>
      <c r="J23" s="26"/>
      <c r="K23" s="30"/>
      <c r="L23" s="27"/>
      <c r="M23" s="26"/>
      <c r="N23" s="26"/>
      <c r="O23" s="26"/>
      <c r="P23" s="30"/>
      <c r="Q23" s="27"/>
      <c r="R23" s="26"/>
      <c r="S23" s="26"/>
      <c r="T23" s="26"/>
      <c r="U23" s="26"/>
      <c r="V23" s="30"/>
      <c r="W23" s="26">
        <f t="shared" si="0"/>
        <v>0</v>
      </c>
    </row>
    <row r="24" spans="1:23" x14ac:dyDescent="0.25">
      <c r="A24" s="4">
        <v>45693</v>
      </c>
      <c r="C24" s="26"/>
      <c r="D24" s="26"/>
      <c r="E24" s="26"/>
      <c r="F24" s="26"/>
      <c r="G24" s="30"/>
      <c r="H24" s="27"/>
      <c r="I24" s="26"/>
      <c r="J24" s="26"/>
      <c r="K24" s="30"/>
      <c r="L24" s="27"/>
      <c r="M24" s="26"/>
      <c r="N24" s="26"/>
      <c r="O24" s="26"/>
      <c r="P24" s="30"/>
      <c r="Q24" s="27"/>
      <c r="R24" s="26"/>
      <c r="S24" s="26"/>
      <c r="T24" s="26"/>
      <c r="U24" s="26"/>
      <c r="V24" s="30"/>
      <c r="W24" s="26">
        <f t="shared" si="0"/>
        <v>0</v>
      </c>
    </row>
    <row r="25" spans="1:23" x14ac:dyDescent="0.25">
      <c r="A25" s="4">
        <v>45724</v>
      </c>
      <c r="C25" s="26"/>
      <c r="D25" s="26"/>
      <c r="E25" s="26"/>
      <c r="F25" s="26"/>
      <c r="G25" s="30"/>
      <c r="H25" s="27"/>
      <c r="I25" s="26"/>
      <c r="J25" s="26"/>
      <c r="K25" s="30"/>
      <c r="L25" s="27"/>
      <c r="M25" s="26"/>
      <c r="N25" s="26"/>
      <c r="O25" s="26"/>
      <c r="P25" s="30"/>
      <c r="Q25" s="27"/>
      <c r="R25" s="26"/>
      <c r="S25" s="26"/>
      <c r="T25" s="26"/>
      <c r="U25" s="26"/>
      <c r="V25" s="30"/>
      <c r="W25" s="26">
        <f t="shared" si="0"/>
        <v>0</v>
      </c>
    </row>
    <row r="26" spans="1:23" ht="15.75" thickBot="1" x14ac:dyDescent="0.3">
      <c r="A26" s="4" t="s">
        <v>28</v>
      </c>
      <c r="C26" s="31">
        <f>SUM(C14:C25)</f>
        <v>426854610.24000007</v>
      </c>
      <c r="D26" s="31">
        <f t="shared" ref="D26:F26" si="1">SUM(D14:D25)</f>
        <v>5431774.2799999993</v>
      </c>
      <c r="E26" s="31">
        <f t="shared" si="1"/>
        <v>389132992.97000003</v>
      </c>
      <c r="F26" s="31">
        <f t="shared" si="1"/>
        <v>32289842.990000006</v>
      </c>
      <c r="G26" s="31"/>
      <c r="H26" s="35">
        <v>893</v>
      </c>
      <c r="I26" s="78">
        <f>F26/H26/122</f>
        <v>296.38392405411861</v>
      </c>
      <c r="J26" s="33"/>
      <c r="K26" s="34"/>
      <c r="L26" s="35">
        <v>29</v>
      </c>
      <c r="M26" s="31">
        <f>SUM(M14:M25)</f>
        <v>22100517</v>
      </c>
      <c r="N26" s="31">
        <f>SUM(N14:N25)</f>
        <v>843030</v>
      </c>
      <c r="O26" s="31">
        <f>SUM(O14:O25)</f>
        <v>3854969.35</v>
      </c>
      <c r="P26" s="33"/>
      <c r="Q26" s="32">
        <v>6</v>
      </c>
      <c r="R26" s="31">
        <f>SUM(R14:R25)</f>
        <v>174635</v>
      </c>
      <c r="S26" s="33"/>
      <c r="T26" s="31">
        <f>SUM(T14:T25)</f>
        <v>1781450</v>
      </c>
      <c r="U26" s="31">
        <f>SUM(U14:U25)</f>
        <v>273309.75</v>
      </c>
      <c r="V26" s="33"/>
      <c r="W26" s="31">
        <f>SUM(W14:W25)</f>
        <v>36592757.090000004</v>
      </c>
    </row>
    <row r="27" spans="1:23" ht="10.5" customHeight="1" thickTop="1" x14ac:dyDescent="0.25">
      <c r="C27" s="36"/>
      <c r="D27" s="36"/>
      <c r="E27" s="36"/>
      <c r="F27" s="36"/>
      <c r="G27" s="36"/>
      <c r="H27" s="36"/>
      <c r="L27" s="38"/>
      <c r="M27" s="36"/>
      <c r="N27" s="36"/>
      <c r="O27" s="36"/>
      <c r="P27" s="36"/>
      <c r="Q27" s="38"/>
      <c r="R27" s="36"/>
      <c r="S27" s="36"/>
      <c r="T27" s="36"/>
      <c r="U27" s="36"/>
    </row>
    <row r="28" spans="1:23" s="42" customFormat="1" x14ac:dyDescent="0.25">
      <c r="A28" s="39"/>
      <c r="B28" s="39"/>
      <c r="C28" s="40"/>
      <c r="D28" s="41">
        <f>D26/$C$26</f>
        <v>1.2725115647564332E-2</v>
      </c>
      <c r="E28" s="41">
        <f>E26/$C$26</f>
        <v>0.91162888635830597</v>
      </c>
      <c r="F28" s="41">
        <f>F26/$C$26</f>
        <v>7.5645997994129577E-2</v>
      </c>
      <c r="G28" s="41"/>
      <c r="H28" s="40"/>
      <c r="L28" s="40"/>
      <c r="M28" s="40"/>
      <c r="N28" s="40"/>
      <c r="O28" s="40"/>
      <c r="P28" s="40"/>
      <c r="Q28" s="40"/>
      <c r="R28" s="40"/>
      <c r="S28" s="40"/>
      <c r="T28" s="40"/>
      <c r="U28" s="40"/>
    </row>
    <row r="29" spans="1:23" s="42" customFormat="1" x14ac:dyDescent="0.25">
      <c r="A29" s="39"/>
      <c r="B29" s="39"/>
      <c r="C29" s="40"/>
      <c r="D29" s="40"/>
      <c r="E29" s="40"/>
      <c r="F29" s="40"/>
      <c r="G29" s="40"/>
      <c r="H29" s="40"/>
      <c r="L29" s="40"/>
      <c r="M29" s="40"/>
      <c r="N29" s="40"/>
      <c r="O29" s="40"/>
      <c r="P29" s="40"/>
      <c r="Q29" s="40"/>
      <c r="R29" s="40"/>
      <c r="S29" s="40"/>
      <c r="T29" s="40"/>
      <c r="U29" s="40"/>
    </row>
    <row r="30" spans="1:23" s="42" customFormat="1" x14ac:dyDescent="0.25">
      <c r="A30" s="83" t="s">
        <v>29</v>
      </c>
      <c r="B30" s="84"/>
      <c r="C30" s="84"/>
      <c r="D30" s="84"/>
      <c r="E30" s="84"/>
      <c r="F30" s="84"/>
      <c r="G30" s="84"/>
      <c r="H30" s="84"/>
      <c r="I30" s="84"/>
      <c r="J30" s="84"/>
      <c r="K30" s="84"/>
      <c r="L30" s="84"/>
      <c r="M30" s="84"/>
      <c r="N30" s="84"/>
      <c r="O30" s="84"/>
      <c r="P30" s="84"/>
      <c r="Q30" s="84"/>
      <c r="R30" s="84"/>
      <c r="S30" s="84"/>
      <c r="T30" s="84"/>
      <c r="U30" s="84"/>
      <c r="V30" s="84"/>
      <c r="W30" s="85"/>
    </row>
    <row r="31" spans="1:23" s="44" customFormat="1" x14ac:dyDescent="0.25">
      <c r="A31" s="43"/>
      <c r="B31" s="43"/>
      <c r="C31" s="43"/>
      <c r="D31" s="43"/>
      <c r="E31" s="43"/>
      <c r="F31" s="43"/>
      <c r="G31" s="43"/>
      <c r="H31" s="43"/>
      <c r="I31" s="43"/>
      <c r="J31" s="43"/>
      <c r="K31" s="43"/>
      <c r="L31" s="43"/>
      <c r="M31" s="43"/>
      <c r="N31" s="43"/>
      <c r="O31" s="43"/>
      <c r="P31" s="43"/>
      <c r="Q31" s="43"/>
      <c r="R31" s="43"/>
      <c r="S31" s="43"/>
      <c r="T31" s="43"/>
      <c r="U31" s="43"/>
    </row>
    <row r="32" spans="1:23" s="44" customFormat="1" x14ac:dyDescent="0.25">
      <c r="A32" s="43"/>
      <c r="B32" s="43"/>
      <c r="C32" s="43"/>
      <c r="D32" s="43"/>
      <c r="E32" s="43"/>
      <c r="F32" s="43"/>
      <c r="G32" s="43"/>
      <c r="H32" s="94" t="s">
        <v>30</v>
      </c>
      <c r="I32" s="95"/>
      <c r="J32" s="95"/>
      <c r="K32" s="95"/>
      <c r="L32" s="95"/>
      <c r="M32" s="95"/>
      <c r="N32" s="95"/>
      <c r="O32" s="95"/>
      <c r="P32" s="95"/>
      <c r="Q32" s="96"/>
      <c r="R32" s="45"/>
      <c r="S32" s="45"/>
      <c r="T32" s="45"/>
      <c r="U32" s="45"/>
    </row>
    <row r="33" spans="1:23" s="46" customFormat="1" ht="12" x14ac:dyDescent="0.2">
      <c r="H33" s="16" t="s">
        <v>31</v>
      </c>
      <c r="I33" s="16" t="s">
        <v>32</v>
      </c>
      <c r="J33" s="16" t="s">
        <v>33</v>
      </c>
      <c r="M33" s="47"/>
      <c r="N33" s="47"/>
      <c r="O33" s="47"/>
      <c r="P33" s="47"/>
      <c r="Q33" s="47"/>
      <c r="R33" s="47"/>
      <c r="S33" s="47"/>
      <c r="T33" s="47"/>
      <c r="U33" s="47"/>
    </row>
    <row r="34" spans="1:23" s="46" customFormat="1" ht="12.75" customHeight="1" x14ac:dyDescent="0.2">
      <c r="C34" s="16" t="s">
        <v>34</v>
      </c>
      <c r="D34" s="46" t="s">
        <v>10</v>
      </c>
      <c r="E34" s="46" t="s">
        <v>35</v>
      </c>
      <c r="F34" s="46" t="s">
        <v>36</v>
      </c>
      <c r="H34" s="16" t="s">
        <v>37</v>
      </c>
      <c r="I34" s="16" t="s">
        <v>38</v>
      </c>
      <c r="J34" s="16" t="s">
        <v>39</v>
      </c>
      <c r="L34" s="90" t="s">
        <v>40</v>
      </c>
      <c r="M34" s="90"/>
      <c r="N34" s="90"/>
      <c r="O34" s="90"/>
      <c r="P34" s="90"/>
      <c r="Q34" s="90"/>
      <c r="R34" s="48"/>
      <c r="S34" s="48"/>
      <c r="T34" s="48"/>
      <c r="U34" s="48"/>
    </row>
    <row r="35" spans="1:23" s="46" customFormat="1" ht="12" x14ac:dyDescent="0.2">
      <c r="C35" s="23" t="s">
        <v>41</v>
      </c>
      <c r="D35" s="81" t="s">
        <v>42</v>
      </c>
      <c r="E35" s="81" t="s">
        <v>43</v>
      </c>
      <c r="F35" s="81" t="s">
        <v>44</v>
      </c>
      <c r="G35" s="47"/>
      <c r="H35" s="23" t="s">
        <v>45</v>
      </c>
      <c r="I35" s="23" t="s">
        <v>46</v>
      </c>
      <c r="J35" s="23" t="s">
        <v>47</v>
      </c>
      <c r="K35" s="81"/>
      <c r="L35" s="81" t="s">
        <v>48</v>
      </c>
      <c r="M35" s="81" t="s">
        <v>49</v>
      </c>
      <c r="N35" s="81" t="s">
        <v>50</v>
      </c>
      <c r="O35" s="81" t="s">
        <v>51</v>
      </c>
      <c r="P35" s="50"/>
      <c r="Q35" s="81" t="s">
        <v>52</v>
      </c>
    </row>
    <row r="36" spans="1:23" s="42" customFormat="1" x14ac:dyDescent="0.25">
      <c r="A36" s="4">
        <v>45383</v>
      </c>
      <c r="B36" s="39"/>
      <c r="C36" s="36">
        <f>(F14*0.7)+(O14+R14+U14)*0.9</f>
        <v>6768832.04</v>
      </c>
      <c r="D36" s="36">
        <f>(F14*0.3)+(O14+R14+U14)*0.1</f>
        <v>2536428.1600000006</v>
      </c>
      <c r="E36" s="26">
        <v>12278.82</v>
      </c>
      <c r="F36" s="26">
        <v>0</v>
      </c>
      <c r="H36" s="36">
        <f>F14*0.3*0.8+(O14+R14+U14)*0.1*0.8+((E36+F36)*0.8)</f>
        <v>2038965.5840000005</v>
      </c>
      <c r="I36" s="36">
        <f>F14*0.3*0.05+(O14+R14+U14)*0.1*0.05+((E36+F36)*0.05)</f>
        <v>127435.34900000003</v>
      </c>
      <c r="J36" s="36">
        <f>F14*0.3*0.05+(O14+R14+U14)*0.1*0.05+((E36+F36)*0.05)</f>
        <v>127435.34900000003</v>
      </c>
      <c r="L36" s="36">
        <f>(F14*0.3*0.1+(O14+R14+U14)*0.1*0.1)*198683/372282+((E36+F36)*0.1*198683/372282)</f>
        <v>136021.81918742784</v>
      </c>
      <c r="M36" s="36">
        <f>(F14*0.3*0.1+(O14+R14+U14)*0.1*0.1)*38867/372282+((E36+F36)*0.1*38867/372282)</f>
        <v>26609.020632654821</v>
      </c>
      <c r="N36" s="36">
        <f>(F14*0.3*0.1+(O14+R14+U14)*0.1*0.1)*9808/372282+((E36+F36)*0.1*9808/372282)</f>
        <v>6714.7264868674838</v>
      </c>
      <c r="O36" s="36">
        <f>(F14*0.3*0.1+(O14+R14+U14)*0.1*0.1)*105740/372282+((E36+F36)*0.1*105740/372282)</f>
        <v>72391.433393287894</v>
      </c>
      <c r="Q36" s="36">
        <f>(F14*0.3*0.1+(O14+R14+U14)*0.1*0.1)*19184/372282+((E36+F36)*0.1*19184/372282)</f>
        <v>13133.698299762013</v>
      </c>
    </row>
    <row r="37" spans="1:23" s="42" customFormat="1" x14ac:dyDescent="0.25">
      <c r="A37" s="4">
        <v>45414</v>
      </c>
      <c r="B37" s="39"/>
      <c r="C37" s="36">
        <f>(F15*0.7)+(O15+R15+U15)*0.9</f>
        <v>6783186.2760000024</v>
      </c>
      <c r="D37" s="36">
        <f>(F15*0.3)+(O15+R15+U15)*0.1</f>
        <v>2598713.404000001</v>
      </c>
      <c r="E37" s="26">
        <v>10083.34</v>
      </c>
      <c r="F37" s="26">
        <v>-111.9</v>
      </c>
      <c r="H37" s="36">
        <f>F15*0.3*0.8+(O15+R15+U15)*0.1*0.8+((E37+F37)*0.8)</f>
        <v>2086947.8752000011</v>
      </c>
      <c r="I37" s="36">
        <f>F15*0.3*0.05+(O15+R15+U15)*0.1*0.05+((E37+F37)*0.05)</f>
        <v>130434.24220000007</v>
      </c>
      <c r="J37" s="36">
        <f>F15*0.3*0.05+(O15+R15+U15)*0.1*0.05+((E37+F37)*0.05)</f>
        <v>130434.24220000007</v>
      </c>
      <c r="L37" s="36">
        <f>(F15*0.3*0.1+(O15+R15+U15)*0.1*0.1)*198683/372282+((E37+F37)*0.1*198683/372282)</f>
        <v>139222.77490194325</v>
      </c>
      <c r="M37" s="36">
        <f>(F15*0.3*0.1+(O15+R15+U15)*0.1*0.1)*38867/372282+((E37+F37)*0.1*38867/372282)</f>
        <v>27235.201764186302</v>
      </c>
      <c r="N37" s="36">
        <f>(F15*0.3*0.1+(O15+R15+U15)*0.1*0.1)*9808/372282+((E37+F37)*0.1*9808/372282)</f>
        <v>6872.7418865139898</v>
      </c>
      <c r="O37" s="36">
        <f>(F15*0.3*0.1+(O15+R15+U15)*0.1*0.1)*105740/372282+((E37+F37)*0.1*105740/372282)</f>
        <v>74094.996643555205</v>
      </c>
      <c r="Q37" s="36">
        <f>(F15*0.3*0.1+(O15+R15+U15)*0.1*0.1)*19184/372282+((E37+F37)*0.1*19184/372282)</f>
        <v>13442.769203801427</v>
      </c>
      <c r="V37" s="28"/>
      <c r="W37" s="28"/>
    </row>
    <row r="38" spans="1:23" s="42" customFormat="1" x14ac:dyDescent="0.25">
      <c r="A38" s="4">
        <v>45445</v>
      </c>
      <c r="B38" s="39"/>
      <c r="C38" s="36">
        <f t="shared" ref="C38:C47" si="2">(F16*0.7)+(O16+R16+U16)*0.9</f>
        <v>6446002.6940000001</v>
      </c>
      <c r="D38" s="36">
        <f t="shared" ref="D38:D47" si="3">(F16*0.3)+(O16+R16+U16)*0.1</f>
        <v>2519441.1260000002</v>
      </c>
      <c r="E38" s="26">
        <v>5761.17</v>
      </c>
      <c r="F38" s="26">
        <v>0</v>
      </c>
      <c r="H38" s="36">
        <f t="shared" ref="H38:H47" si="4">F16*0.3*0.8+(O16+R16+U16)*0.1*0.8+((E38+F38)*0.8)</f>
        <v>2020161.8367999999</v>
      </c>
      <c r="I38" s="36">
        <f t="shared" ref="I38:I47" si="5">F16*0.3*0.05+(O16+R16+U16)*0.1*0.05+((E38+F38)*0.05)</f>
        <v>126260.1148</v>
      </c>
      <c r="J38" s="36">
        <f t="shared" ref="J38:J47" si="6">F16*0.3*0.05+(O16+R16+U16)*0.1*0.05+((E38+F38)*0.05)</f>
        <v>126260.1148</v>
      </c>
      <c r="L38" s="36">
        <f t="shared" ref="L38:L47" si="7">(F16*0.3*0.1+(O16+R16+U16)*0.1*0.1)*198683/372282+((E38+F38)*0.1*198683/372282)</f>
        <v>134767.39884715565</v>
      </c>
      <c r="M38" s="36">
        <f t="shared" ref="M38:M47" si="8">(F16*0.3*0.1+(O16+R16+U16)*0.1*0.1)*38867/372282+((E38+F38)*0.1*38867/372282)</f>
        <v>26363.626938351033</v>
      </c>
      <c r="N38" s="36">
        <f t="shared" ref="N38:N47" si="9">(F16*0.3*0.1+(O16+R16+U16)*0.1*0.1)*9808/372282+((E38+F38)*0.1*9808/372282)</f>
        <v>6652.801940241</v>
      </c>
      <c r="O38" s="36">
        <f t="shared" ref="O38:O47" si="10">(F16*0.3*0.1+(O16+R16+U16)*0.1*0.1)*105740/372282+((E38+F38)*0.1*105740/372282)</f>
        <v>71723.825159164277</v>
      </c>
      <c r="Q38" s="36">
        <f t="shared" ref="Q38:Q47" si="11">(F16*0.3*0.1+(O16+R16+U16)*0.1*0.1)*19184/372282+((E38+F38)*0.1*19184/372282)</f>
        <v>13012.576715088024</v>
      </c>
      <c r="V38" s="28"/>
      <c r="W38" s="28"/>
    </row>
    <row r="39" spans="1:23" s="42" customFormat="1" x14ac:dyDescent="0.25">
      <c r="A39" s="4">
        <v>45476</v>
      </c>
      <c r="B39" s="39"/>
      <c r="C39" s="36">
        <f t="shared" si="2"/>
        <v>6477491.7729999991</v>
      </c>
      <c r="D39" s="36">
        <f t="shared" si="3"/>
        <v>2462661.6170000001</v>
      </c>
      <c r="E39" s="26">
        <v>7239.37</v>
      </c>
      <c r="F39" s="26">
        <v>578</v>
      </c>
      <c r="H39" s="36">
        <f t="shared" si="4"/>
        <v>1976383.1895999999</v>
      </c>
      <c r="I39" s="36">
        <f t="shared" si="5"/>
        <v>123523.94935</v>
      </c>
      <c r="J39" s="36">
        <f t="shared" si="6"/>
        <v>123523.94935</v>
      </c>
      <c r="L39" s="36">
        <f t="shared" si="7"/>
        <v>131846.87322355661</v>
      </c>
      <c r="M39" s="36">
        <f t="shared" si="8"/>
        <v>25792.304432588469</v>
      </c>
      <c r="N39" s="36">
        <f t="shared" si="9"/>
        <v>6508.6299913764296</v>
      </c>
      <c r="O39" s="36">
        <f t="shared" si="10"/>
        <v>70169.508084027693</v>
      </c>
      <c r="Q39" s="36">
        <f t="shared" si="11"/>
        <v>12730.582968450799</v>
      </c>
      <c r="V39" s="28"/>
      <c r="W39" s="28"/>
    </row>
    <row r="40" spans="1:23" s="42" customFormat="1" x14ac:dyDescent="0.25">
      <c r="A40" s="4">
        <v>45507</v>
      </c>
      <c r="B40" s="39"/>
      <c r="C40" s="36">
        <f t="shared" si="2"/>
        <v>0</v>
      </c>
      <c r="D40" s="36">
        <f t="shared" si="3"/>
        <v>0</v>
      </c>
      <c r="E40" s="26"/>
      <c r="F40" s="26"/>
      <c r="H40" s="36">
        <f t="shared" si="4"/>
        <v>0</v>
      </c>
      <c r="I40" s="36">
        <f t="shared" si="5"/>
        <v>0</v>
      </c>
      <c r="J40" s="36">
        <f t="shared" si="6"/>
        <v>0</v>
      </c>
      <c r="L40" s="36">
        <f t="shared" si="7"/>
        <v>0</v>
      </c>
      <c r="M40" s="36">
        <f t="shared" si="8"/>
        <v>0</v>
      </c>
      <c r="N40" s="36">
        <f t="shared" si="9"/>
        <v>0</v>
      </c>
      <c r="O40" s="36">
        <f t="shared" si="10"/>
        <v>0</v>
      </c>
      <c r="Q40" s="36">
        <f t="shared" si="11"/>
        <v>0</v>
      </c>
      <c r="V40" s="28"/>
      <c r="W40" s="28"/>
    </row>
    <row r="41" spans="1:23" s="42" customFormat="1" x14ac:dyDescent="0.25">
      <c r="A41" s="4">
        <v>45538</v>
      </c>
      <c r="B41" s="39"/>
      <c r="C41" s="36">
        <f t="shared" si="2"/>
        <v>0</v>
      </c>
      <c r="D41" s="36">
        <f t="shared" si="3"/>
        <v>0</v>
      </c>
      <c r="E41" s="26"/>
      <c r="F41" s="26"/>
      <c r="G41" s="30"/>
      <c r="H41" s="36">
        <f t="shared" si="4"/>
        <v>0</v>
      </c>
      <c r="I41" s="36">
        <f t="shared" si="5"/>
        <v>0</v>
      </c>
      <c r="J41" s="36">
        <f t="shared" si="6"/>
        <v>0</v>
      </c>
      <c r="L41" s="36">
        <f t="shared" si="7"/>
        <v>0</v>
      </c>
      <c r="M41" s="36">
        <f t="shared" si="8"/>
        <v>0</v>
      </c>
      <c r="N41" s="36">
        <f t="shared" si="9"/>
        <v>0</v>
      </c>
      <c r="O41" s="36">
        <f t="shared" si="10"/>
        <v>0</v>
      </c>
      <c r="Q41" s="36">
        <f t="shared" si="11"/>
        <v>0</v>
      </c>
      <c r="V41" s="28"/>
      <c r="W41" s="28"/>
    </row>
    <row r="42" spans="1:23" s="42" customFormat="1" x14ac:dyDescent="0.25">
      <c r="A42" s="4">
        <v>45569</v>
      </c>
      <c r="B42" s="39"/>
      <c r="C42" s="36">
        <f t="shared" si="2"/>
        <v>0</v>
      </c>
      <c r="D42" s="36">
        <f t="shared" si="3"/>
        <v>0</v>
      </c>
      <c r="E42" s="26"/>
      <c r="F42" s="26"/>
      <c r="G42" s="30"/>
      <c r="H42" s="36">
        <f t="shared" si="4"/>
        <v>0</v>
      </c>
      <c r="I42" s="36">
        <f t="shared" si="5"/>
        <v>0</v>
      </c>
      <c r="J42" s="36">
        <f t="shared" si="6"/>
        <v>0</v>
      </c>
      <c r="L42" s="36">
        <f t="shared" si="7"/>
        <v>0</v>
      </c>
      <c r="M42" s="36">
        <f t="shared" si="8"/>
        <v>0</v>
      </c>
      <c r="N42" s="36">
        <f t="shared" si="9"/>
        <v>0</v>
      </c>
      <c r="O42" s="36">
        <f t="shared" si="10"/>
        <v>0</v>
      </c>
      <c r="Q42" s="36">
        <f t="shared" si="11"/>
        <v>0</v>
      </c>
      <c r="V42" s="28"/>
      <c r="W42" s="28"/>
    </row>
    <row r="43" spans="1:23" s="42" customFormat="1" x14ac:dyDescent="0.25">
      <c r="A43" s="4">
        <v>45600</v>
      </c>
      <c r="B43" s="39"/>
      <c r="C43" s="36">
        <f t="shared" si="2"/>
        <v>0</v>
      </c>
      <c r="D43" s="36">
        <f t="shared" si="3"/>
        <v>0</v>
      </c>
      <c r="E43" s="26"/>
      <c r="F43" s="26"/>
      <c r="G43" s="30"/>
      <c r="H43" s="36">
        <f t="shared" si="4"/>
        <v>0</v>
      </c>
      <c r="I43" s="36">
        <f t="shared" si="5"/>
        <v>0</v>
      </c>
      <c r="J43" s="36">
        <f t="shared" si="6"/>
        <v>0</v>
      </c>
      <c r="L43" s="36">
        <f t="shared" si="7"/>
        <v>0</v>
      </c>
      <c r="M43" s="36">
        <f t="shared" si="8"/>
        <v>0</v>
      </c>
      <c r="N43" s="36">
        <f t="shared" si="9"/>
        <v>0</v>
      </c>
      <c r="O43" s="36">
        <f t="shared" si="10"/>
        <v>0</v>
      </c>
      <c r="Q43" s="36">
        <f t="shared" si="11"/>
        <v>0</v>
      </c>
      <c r="V43" s="28"/>
      <c r="W43" s="28"/>
    </row>
    <row r="44" spans="1:23" s="42" customFormat="1" x14ac:dyDescent="0.25">
      <c r="A44" s="4">
        <v>45631</v>
      </c>
      <c r="B44" s="39"/>
      <c r="C44" s="36">
        <f t="shared" si="2"/>
        <v>0</v>
      </c>
      <c r="D44" s="36">
        <f t="shared" si="3"/>
        <v>0</v>
      </c>
      <c r="E44" s="26"/>
      <c r="F44" s="26"/>
      <c r="G44" s="30"/>
      <c r="H44" s="36">
        <f t="shared" si="4"/>
        <v>0</v>
      </c>
      <c r="I44" s="36">
        <f t="shared" si="5"/>
        <v>0</v>
      </c>
      <c r="J44" s="36">
        <f t="shared" si="6"/>
        <v>0</v>
      </c>
      <c r="L44" s="36">
        <f t="shared" si="7"/>
        <v>0</v>
      </c>
      <c r="M44" s="36">
        <f t="shared" si="8"/>
        <v>0</v>
      </c>
      <c r="N44" s="36">
        <f t="shared" si="9"/>
        <v>0</v>
      </c>
      <c r="O44" s="36">
        <f t="shared" si="10"/>
        <v>0</v>
      </c>
      <c r="Q44" s="36">
        <f t="shared" si="11"/>
        <v>0</v>
      </c>
      <c r="V44" s="28"/>
      <c r="W44" s="28"/>
    </row>
    <row r="45" spans="1:23" s="42" customFormat="1" x14ac:dyDescent="0.25">
      <c r="A45" s="4">
        <v>45662</v>
      </c>
      <c r="B45" s="39"/>
      <c r="C45" s="36">
        <f t="shared" si="2"/>
        <v>0</v>
      </c>
      <c r="D45" s="36">
        <f t="shared" si="3"/>
        <v>0</v>
      </c>
      <c r="E45" s="26"/>
      <c r="F45" s="26"/>
      <c r="G45" s="30"/>
      <c r="H45" s="36">
        <f t="shared" si="4"/>
        <v>0</v>
      </c>
      <c r="I45" s="36">
        <f t="shared" si="5"/>
        <v>0</v>
      </c>
      <c r="J45" s="36">
        <f t="shared" si="6"/>
        <v>0</v>
      </c>
      <c r="L45" s="36">
        <f t="shared" si="7"/>
        <v>0</v>
      </c>
      <c r="M45" s="36">
        <f t="shared" si="8"/>
        <v>0</v>
      </c>
      <c r="N45" s="36">
        <f t="shared" si="9"/>
        <v>0</v>
      </c>
      <c r="O45" s="36">
        <f t="shared" si="10"/>
        <v>0</v>
      </c>
      <c r="Q45" s="36">
        <f t="shared" si="11"/>
        <v>0</v>
      </c>
      <c r="V45" s="28"/>
      <c r="W45" s="28"/>
    </row>
    <row r="46" spans="1:23" s="42" customFormat="1" x14ac:dyDescent="0.25">
      <c r="A46" s="4">
        <v>45693</v>
      </c>
      <c r="B46" s="39"/>
      <c r="C46" s="36">
        <f t="shared" si="2"/>
        <v>0</v>
      </c>
      <c r="D46" s="36">
        <f t="shared" si="3"/>
        <v>0</v>
      </c>
      <c r="E46" s="26"/>
      <c r="F46" s="26"/>
      <c r="G46" s="30"/>
      <c r="H46" s="36">
        <f t="shared" si="4"/>
        <v>0</v>
      </c>
      <c r="I46" s="36">
        <f t="shared" si="5"/>
        <v>0</v>
      </c>
      <c r="J46" s="36">
        <f t="shared" si="6"/>
        <v>0</v>
      </c>
      <c r="L46" s="36">
        <f t="shared" si="7"/>
        <v>0</v>
      </c>
      <c r="M46" s="36">
        <f t="shared" si="8"/>
        <v>0</v>
      </c>
      <c r="N46" s="36">
        <f t="shared" si="9"/>
        <v>0</v>
      </c>
      <c r="O46" s="36">
        <f t="shared" si="10"/>
        <v>0</v>
      </c>
      <c r="Q46" s="36">
        <f t="shared" si="11"/>
        <v>0</v>
      </c>
      <c r="V46" s="28"/>
      <c r="W46" s="28"/>
    </row>
    <row r="47" spans="1:23" s="42" customFormat="1" x14ac:dyDescent="0.25">
      <c r="A47" s="4">
        <v>45724</v>
      </c>
      <c r="B47" s="39"/>
      <c r="C47" s="36">
        <f t="shared" si="2"/>
        <v>0</v>
      </c>
      <c r="D47" s="36">
        <f t="shared" si="3"/>
        <v>0</v>
      </c>
      <c r="E47" s="26"/>
      <c r="F47" s="26"/>
      <c r="G47" s="30"/>
      <c r="H47" s="36">
        <f t="shared" si="4"/>
        <v>0</v>
      </c>
      <c r="I47" s="36">
        <f t="shared" si="5"/>
        <v>0</v>
      </c>
      <c r="J47" s="36">
        <f t="shared" si="6"/>
        <v>0</v>
      </c>
      <c r="L47" s="36">
        <f t="shared" si="7"/>
        <v>0</v>
      </c>
      <c r="M47" s="36">
        <f t="shared" si="8"/>
        <v>0</v>
      </c>
      <c r="N47" s="36">
        <f t="shared" si="9"/>
        <v>0</v>
      </c>
      <c r="O47" s="36">
        <f t="shared" si="10"/>
        <v>0</v>
      </c>
      <c r="Q47" s="36">
        <f t="shared" si="11"/>
        <v>0</v>
      </c>
      <c r="V47" s="28"/>
      <c r="W47" s="28"/>
    </row>
    <row r="48" spans="1:23" s="42" customFormat="1" ht="15.75" thickBot="1" x14ac:dyDescent="0.3">
      <c r="A48" s="4" t="s">
        <v>28</v>
      </c>
      <c r="B48" s="39"/>
      <c r="C48" s="51">
        <f t="shared" ref="C48:D48" si="12">SUM(C36:C47)</f>
        <v>26475512.783000004</v>
      </c>
      <c r="D48" s="51">
        <f t="shared" si="12"/>
        <v>10117244.307000002</v>
      </c>
      <c r="E48" s="31">
        <f>SUM(E36:E47)</f>
        <v>35362.700000000004</v>
      </c>
      <c r="F48" s="31">
        <f>SUM(F36:F47)</f>
        <v>466.1</v>
      </c>
      <c r="G48" s="36"/>
      <c r="H48" s="51">
        <f>SUM(H36:H47)</f>
        <v>8122458.4856000012</v>
      </c>
      <c r="I48" s="51">
        <f t="shared" ref="I48:Q48" si="13">SUM(I36:I47)</f>
        <v>507653.65535000007</v>
      </c>
      <c r="J48" s="51">
        <f t="shared" si="13"/>
        <v>507653.65535000007</v>
      </c>
      <c r="K48" s="51"/>
      <c r="L48" s="51">
        <f t="shared" si="13"/>
        <v>541858.86616008333</v>
      </c>
      <c r="M48" s="51">
        <f t="shared" si="13"/>
        <v>106000.15376778063</v>
      </c>
      <c r="N48" s="51">
        <f t="shared" si="13"/>
        <v>26748.900304998904</v>
      </c>
      <c r="O48" s="51">
        <f t="shared" si="13"/>
        <v>288379.76328003505</v>
      </c>
      <c r="P48" s="51"/>
      <c r="Q48" s="51">
        <f t="shared" si="13"/>
        <v>52319.627187102262</v>
      </c>
      <c r="V48" s="28"/>
      <c r="W48" s="28"/>
    </row>
    <row r="49" spans="1:21" s="42" customFormat="1" ht="15.75" thickTop="1" x14ac:dyDescent="0.25">
      <c r="A49" s="39"/>
      <c r="B49" s="39"/>
      <c r="C49" s="36"/>
      <c r="D49" s="40"/>
      <c r="E49" s="40"/>
      <c r="F49" s="40"/>
      <c r="G49" s="40"/>
      <c r="H49" s="40"/>
      <c r="I49" s="40"/>
      <c r="L49" s="40"/>
      <c r="M49" s="40"/>
      <c r="N49" s="40"/>
      <c r="O49" s="40"/>
      <c r="Q49" s="40"/>
    </row>
    <row r="50" spans="1:21" s="42" customFormat="1" x14ac:dyDescent="0.25">
      <c r="A50" s="39"/>
      <c r="B50" s="39"/>
      <c r="C50" s="40">
        <f>C48/W26</f>
        <v>0.72351784583718015</v>
      </c>
      <c r="D50" s="40">
        <f>D48/W26</f>
        <v>0.2764821541628199</v>
      </c>
      <c r="E50" s="40"/>
      <c r="F50" s="40"/>
      <c r="G50" s="40"/>
      <c r="H50" s="40">
        <f>H48/($D$48+$E$48+$F$48)</f>
        <v>0.8</v>
      </c>
      <c r="I50" s="40">
        <f t="shared" ref="I50:Q50" si="14">I48/($D$48+$E$48+$F$48)</f>
        <v>0.05</v>
      </c>
      <c r="J50" s="40">
        <f t="shared" si="14"/>
        <v>0.05</v>
      </c>
      <c r="K50" s="40"/>
      <c r="L50" s="40">
        <f t="shared" si="14"/>
        <v>5.3368951493760114E-2</v>
      </c>
      <c r="M50" s="40">
        <f t="shared" si="14"/>
        <v>1.0440203931428327E-2</v>
      </c>
      <c r="N50" s="40">
        <f t="shared" si="14"/>
        <v>2.6345619718385529E-3</v>
      </c>
      <c r="O50" s="40">
        <f t="shared" si="14"/>
        <v>2.8403199724939696E-2</v>
      </c>
      <c r="P50" s="40"/>
      <c r="Q50" s="40">
        <f t="shared" si="14"/>
        <v>5.1530828780333195E-3</v>
      </c>
    </row>
    <row r="51" spans="1:21" s="42" customFormat="1" x14ac:dyDescent="0.25">
      <c r="A51" s="39"/>
      <c r="B51" s="39"/>
      <c r="C51" s="40"/>
      <c r="D51" s="40"/>
      <c r="H51" s="40"/>
      <c r="I51" s="40"/>
      <c r="J51" s="40"/>
      <c r="K51" s="40"/>
      <c r="L51" s="40"/>
      <c r="M51" s="40"/>
      <c r="N51" s="40"/>
      <c r="O51" s="40"/>
      <c r="P51" s="40"/>
      <c r="Q51" s="40"/>
      <c r="R51" s="40"/>
      <c r="S51" s="40"/>
      <c r="T51" s="40"/>
      <c r="U51" s="40"/>
    </row>
    <row r="52" spans="1:21" s="42" customFormat="1" x14ac:dyDescent="0.25">
      <c r="A52" s="52" t="s">
        <v>53</v>
      </c>
      <c r="B52" s="39"/>
      <c r="C52" s="40"/>
      <c r="D52" s="40"/>
      <c r="H52" s="40"/>
      <c r="I52" s="40"/>
      <c r="J52" s="40"/>
      <c r="K52" s="40"/>
      <c r="L52" s="40"/>
      <c r="M52" s="40"/>
      <c r="N52" s="40"/>
      <c r="O52" s="40"/>
      <c r="P52" s="40"/>
      <c r="Q52" s="40"/>
      <c r="R52" s="40"/>
      <c r="S52" s="40"/>
      <c r="T52" s="40"/>
      <c r="U52" s="40"/>
    </row>
    <row r="53" spans="1:21" s="42" customFormat="1" x14ac:dyDescent="0.25">
      <c r="A53" s="53" t="s">
        <v>83</v>
      </c>
      <c r="B53" s="39"/>
      <c r="C53" s="40"/>
      <c r="D53" s="40"/>
      <c r="H53" s="40"/>
      <c r="I53" s="40"/>
      <c r="J53" s="40"/>
      <c r="K53" s="40"/>
      <c r="L53" s="40"/>
      <c r="M53" s="40"/>
      <c r="N53" s="40"/>
      <c r="O53" s="40"/>
      <c r="P53" s="40"/>
      <c r="Q53" s="40"/>
      <c r="R53" s="40"/>
      <c r="S53" s="40"/>
      <c r="T53" s="40"/>
      <c r="U53" s="40"/>
    </row>
    <row r="54" spans="1:21" s="42" customFormat="1" x14ac:dyDescent="0.25">
      <c r="A54" s="53" t="s">
        <v>55</v>
      </c>
      <c r="B54" s="39"/>
      <c r="C54" s="40"/>
      <c r="D54" s="40"/>
      <c r="H54" s="40"/>
      <c r="I54" s="40"/>
      <c r="J54" s="40"/>
      <c r="K54" s="40"/>
      <c r="L54" s="40"/>
      <c r="M54" s="40"/>
      <c r="N54" s="40"/>
      <c r="O54" s="40"/>
      <c r="P54" s="40"/>
      <c r="Q54" s="40"/>
      <c r="R54" s="40"/>
      <c r="S54" s="40"/>
      <c r="T54" s="40"/>
      <c r="U54" s="40"/>
    </row>
    <row r="55" spans="1:21" s="42" customFormat="1" x14ac:dyDescent="0.25">
      <c r="A55" s="53" t="s">
        <v>56</v>
      </c>
      <c r="B55" s="39"/>
      <c r="C55" s="40"/>
      <c r="D55" s="40"/>
      <c r="H55" s="40"/>
      <c r="I55" s="40"/>
      <c r="J55" s="40"/>
      <c r="K55" s="40"/>
      <c r="L55" s="40"/>
      <c r="M55" s="40"/>
      <c r="N55" s="40"/>
      <c r="O55" s="40"/>
      <c r="P55" s="40"/>
      <c r="Q55" s="40"/>
      <c r="R55" s="40"/>
      <c r="S55" s="40"/>
      <c r="T55" s="40"/>
      <c r="U55" s="40"/>
    </row>
    <row r="56" spans="1:21" s="42" customFormat="1" x14ac:dyDescent="0.25">
      <c r="A56" s="53"/>
      <c r="B56" s="39"/>
      <c r="C56" s="40"/>
      <c r="D56" s="40"/>
      <c r="H56" s="40"/>
      <c r="I56" s="40"/>
      <c r="J56" s="40"/>
      <c r="K56" s="40"/>
      <c r="L56" s="40"/>
      <c r="M56" s="40"/>
      <c r="N56" s="40"/>
      <c r="O56" s="40"/>
      <c r="P56" s="40"/>
      <c r="Q56" s="40"/>
      <c r="R56" s="40"/>
      <c r="S56" s="40"/>
      <c r="T56" s="40"/>
      <c r="U56" s="40"/>
    </row>
    <row r="57" spans="1:21" s="42" customFormat="1" x14ac:dyDescent="0.25">
      <c r="A57" s="53" t="s">
        <v>57</v>
      </c>
      <c r="B57" s="39"/>
      <c r="C57" s="40"/>
      <c r="D57" s="54"/>
      <c r="H57" s="40"/>
      <c r="I57" s="40"/>
      <c r="J57" s="40"/>
      <c r="K57" s="40"/>
      <c r="L57" s="40"/>
      <c r="M57" s="40"/>
      <c r="N57" s="40"/>
      <c r="O57" s="40"/>
      <c r="P57" s="40"/>
      <c r="Q57" s="40"/>
      <c r="R57" s="40"/>
      <c r="S57" s="40"/>
      <c r="T57" s="40"/>
      <c r="U57" s="40"/>
    </row>
    <row r="59" spans="1:21" s="42" customFormat="1" x14ac:dyDescent="0.25">
      <c r="A59" s="53" t="s">
        <v>58</v>
      </c>
      <c r="B59" s="39"/>
      <c r="C59" s="40"/>
      <c r="D59" s="54"/>
      <c r="H59" s="40"/>
      <c r="I59" s="40"/>
      <c r="J59" s="40"/>
      <c r="K59" s="40"/>
      <c r="L59" s="40"/>
      <c r="M59" s="40"/>
      <c r="N59" s="40"/>
      <c r="O59" s="40"/>
      <c r="P59" s="40"/>
      <c r="Q59" s="40"/>
      <c r="R59" s="40"/>
      <c r="S59" s="40"/>
      <c r="T59" s="40"/>
      <c r="U59" s="40"/>
    </row>
    <row r="60" spans="1:21" s="42" customFormat="1" x14ac:dyDescent="0.25">
      <c r="A60" s="53" t="s">
        <v>73</v>
      </c>
      <c r="B60" s="39"/>
      <c r="C60" s="40"/>
      <c r="D60" s="54"/>
      <c r="H60" s="40"/>
      <c r="I60" s="40"/>
      <c r="J60" s="40"/>
      <c r="K60" s="40"/>
      <c r="L60" s="40"/>
      <c r="M60" s="40"/>
      <c r="N60" s="40"/>
      <c r="O60" s="40"/>
      <c r="P60" s="40"/>
      <c r="Q60" s="40"/>
      <c r="R60" s="40"/>
      <c r="S60" s="40"/>
      <c r="T60" s="40"/>
      <c r="U60" s="40"/>
    </row>
    <row r="62" spans="1:21" x14ac:dyDescent="0.25">
      <c r="A62" s="53" t="s">
        <v>60</v>
      </c>
    </row>
    <row r="63" spans="1:21" x14ac:dyDescent="0.25">
      <c r="A63" s="53"/>
    </row>
    <row r="64" spans="1:21" x14ac:dyDescent="0.25">
      <c r="A64" s="53" t="s">
        <v>74</v>
      </c>
    </row>
    <row r="65" spans="1:15" x14ac:dyDescent="0.25">
      <c r="A65" s="53"/>
      <c r="B65" s="55"/>
      <c r="C65" s="56"/>
      <c r="D65" s="56"/>
      <c r="E65" s="56"/>
      <c r="F65" s="56"/>
      <c r="G65" s="56"/>
      <c r="H65" s="56"/>
      <c r="I65" s="57"/>
      <c r="J65" s="56"/>
      <c r="K65" s="56"/>
      <c r="L65" s="56"/>
      <c r="M65" s="56"/>
      <c r="N65" s="56"/>
      <c r="O65" s="56"/>
    </row>
    <row r="66" spans="1:15" x14ac:dyDescent="0.25">
      <c r="A66" s="65" t="s">
        <v>68</v>
      </c>
    </row>
    <row r="68" spans="1:15" x14ac:dyDescent="0.25">
      <c r="D68" s="58"/>
    </row>
  </sheetData>
  <mergeCells count="13">
    <mergeCell ref="L34:Q34"/>
    <mergeCell ref="C10:I10"/>
    <mergeCell ref="L10:O10"/>
    <mergeCell ref="Q10:R10"/>
    <mergeCell ref="T10:U10"/>
    <mergeCell ref="A30:W30"/>
    <mergeCell ref="H32:Q32"/>
    <mergeCell ref="A8:W8"/>
    <mergeCell ref="A1:W1"/>
    <mergeCell ref="A2:W2"/>
    <mergeCell ref="A3:W3"/>
    <mergeCell ref="A4:W4"/>
    <mergeCell ref="A5:W5"/>
  </mergeCells>
  <hyperlinks>
    <hyperlink ref="A4" r:id="rId1" xr:uid="{D40D93D4-F608-46A0-8949-DA47846A1BA3}"/>
  </hyperlinks>
  <printOptions horizontalCentered="1" verticalCentered="1"/>
  <pageMargins left="0" right="0" top="0.25" bottom="0.25" header="0.3" footer="0.3"/>
  <pageSetup scale="5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7CDA7-41A0-49EE-8D9B-148BF120CE6C}">
  <sheetPr>
    <pageSetUpPr fitToPage="1"/>
  </sheetPr>
  <dimension ref="A1:W68"/>
  <sheetViews>
    <sheetView topLeftCell="A3" zoomScaleNormal="100" workbookViewId="0">
      <selection activeCell="L26" sqref="L26"/>
    </sheetView>
  </sheetViews>
  <sheetFormatPr defaultRowHeight="15" x14ac:dyDescent="0.25"/>
  <cols>
    <col min="1" max="1" width="9.28515625" style="4" customWidth="1"/>
    <col min="2" max="2" width="1.7109375" style="4" customWidth="1"/>
    <col min="3" max="3" width="14.140625" style="28" customWidth="1"/>
    <col min="4" max="4" width="13.140625" style="28" customWidth="1"/>
    <col min="5" max="5" width="14.140625" style="28" customWidth="1"/>
    <col min="6" max="6" width="15.85546875" style="28" customWidth="1"/>
    <col min="7" max="7" width="1.85546875" style="28" customWidth="1"/>
    <col min="8" max="8" width="14.28515625" style="28" customWidth="1"/>
    <col min="9" max="9" width="11.85546875" style="37" customWidth="1"/>
    <col min="10" max="10" width="11.5703125" style="28" customWidth="1"/>
    <col min="11" max="11" width="1.140625" style="28" customWidth="1"/>
    <col min="12" max="12" width="11.85546875" style="28" customWidth="1"/>
    <col min="13" max="13" width="12.7109375" style="28" customWidth="1"/>
    <col min="14" max="14" width="11.5703125" style="28" customWidth="1"/>
    <col min="15" max="15" width="12.42578125" style="28" customWidth="1"/>
    <col min="16" max="16" width="3.7109375" style="28" customWidth="1"/>
    <col min="17" max="17" width="11.42578125" style="28" customWidth="1"/>
    <col min="18" max="18" width="12.140625" style="28" customWidth="1"/>
    <col min="19" max="19" width="3.7109375" style="28" customWidth="1"/>
    <col min="20" max="20" width="14.7109375" style="28" customWidth="1"/>
    <col min="21" max="21" width="12.28515625" style="28" customWidth="1"/>
    <col min="22" max="22" width="3.7109375" style="1" customWidth="1"/>
    <col min="23" max="23" width="14.28515625" style="1" customWidth="1"/>
    <col min="24" max="24" width="9.85546875" style="1" customWidth="1"/>
    <col min="25" max="260" width="9.140625" style="1"/>
    <col min="261" max="261" width="9.28515625" style="1" customWidth="1"/>
    <col min="262" max="262" width="1.7109375" style="1" customWidth="1"/>
    <col min="263" max="266" width="12" style="1" customWidth="1"/>
    <col min="267" max="267" width="11.85546875" style="1" customWidth="1"/>
    <col min="268" max="268" width="10.7109375" style="1" customWidth="1"/>
    <col min="269" max="269" width="10.5703125" style="1" customWidth="1"/>
    <col min="270" max="270" width="1.140625" style="1" customWidth="1"/>
    <col min="271" max="271" width="11.28515625" style="1" customWidth="1"/>
    <col min="272" max="272" width="12.7109375" style="1" customWidth="1"/>
    <col min="273" max="273" width="11.5703125" style="1" customWidth="1"/>
    <col min="274" max="274" width="12.42578125" style="1" customWidth="1"/>
    <col min="275" max="275" width="1.5703125" style="1" customWidth="1"/>
    <col min="276" max="276" width="11.42578125" style="1" customWidth="1"/>
    <col min="277" max="277" width="12.140625" style="1" customWidth="1"/>
    <col min="278" max="278" width="1.7109375" style="1" customWidth="1"/>
    <col min="279" max="279" width="13.5703125" style="1" customWidth="1"/>
    <col min="280" max="516" width="9.140625" style="1"/>
    <col min="517" max="517" width="9.28515625" style="1" customWidth="1"/>
    <col min="518" max="518" width="1.7109375" style="1" customWidth="1"/>
    <col min="519" max="522" width="12" style="1" customWidth="1"/>
    <col min="523" max="523" width="11.85546875" style="1" customWidth="1"/>
    <col min="524" max="524" width="10.7109375" style="1" customWidth="1"/>
    <col min="525" max="525" width="10.5703125" style="1" customWidth="1"/>
    <col min="526" max="526" width="1.140625" style="1" customWidth="1"/>
    <col min="527" max="527" width="11.28515625" style="1" customWidth="1"/>
    <col min="528" max="528" width="12.7109375" style="1" customWidth="1"/>
    <col min="529" max="529" width="11.5703125" style="1" customWidth="1"/>
    <col min="530" max="530" width="12.42578125" style="1" customWidth="1"/>
    <col min="531" max="531" width="1.5703125" style="1" customWidth="1"/>
    <col min="532" max="532" width="11.42578125" style="1" customWidth="1"/>
    <col min="533" max="533" width="12.140625" style="1" customWidth="1"/>
    <col min="534" max="534" width="1.7109375" style="1" customWidth="1"/>
    <col min="535" max="535" width="13.5703125" style="1" customWidth="1"/>
    <col min="536" max="772" width="9.140625" style="1"/>
    <col min="773" max="773" width="9.28515625" style="1" customWidth="1"/>
    <col min="774" max="774" width="1.7109375" style="1" customWidth="1"/>
    <col min="775" max="778" width="12" style="1" customWidth="1"/>
    <col min="779" max="779" width="11.85546875" style="1" customWidth="1"/>
    <col min="780" max="780" width="10.7109375" style="1" customWidth="1"/>
    <col min="781" max="781" width="10.5703125" style="1" customWidth="1"/>
    <col min="782" max="782" width="1.140625" style="1" customWidth="1"/>
    <col min="783" max="783" width="11.28515625" style="1" customWidth="1"/>
    <col min="784" max="784" width="12.7109375" style="1" customWidth="1"/>
    <col min="785" max="785" width="11.5703125" style="1" customWidth="1"/>
    <col min="786" max="786" width="12.42578125" style="1" customWidth="1"/>
    <col min="787" max="787" width="1.5703125" style="1" customWidth="1"/>
    <col min="788" max="788" width="11.42578125" style="1" customWidth="1"/>
    <col min="789" max="789" width="12.140625" style="1" customWidth="1"/>
    <col min="790" max="790" width="1.7109375" style="1" customWidth="1"/>
    <col min="791" max="791" width="13.5703125" style="1" customWidth="1"/>
    <col min="792" max="1028" width="9.140625" style="1"/>
    <col min="1029" max="1029" width="9.28515625" style="1" customWidth="1"/>
    <col min="1030" max="1030" width="1.7109375" style="1" customWidth="1"/>
    <col min="1031" max="1034" width="12" style="1" customWidth="1"/>
    <col min="1035" max="1035" width="11.85546875" style="1" customWidth="1"/>
    <col min="1036" max="1036" width="10.7109375" style="1" customWidth="1"/>
    <col min="1037" max="1037" width="10.5703125" style="1" customWidth="1"/>
    <col min="1038" max="1038" width="1.140625" style="1" customWidth="1"/>
    <col min="1039" max="1039" width="11.28515625" style="1" customWidth="1"/>
    <col min="1040" max="1040" width="12.7109375" style="1" customWidth="1"/>
    <col min="1041" max="1041" width="11.5703125" style="1" customWidth="1"/>
    <col min="1042" max="1042" width="12.42578125" style="1" customWidth="1"/>
    <col min="1043" max="1043" width="1.5703125" style="1" customWidth="1"/>
    <col min="1044" max="1044" width="11.42578125" style="1" customWidth="1"/>
    <col min="1045" max="1045" width="12.140625" style="1" customWidth="1"/>
    <col min="1046" max="1046" width="1.7109375" style="1" customWidth="1"/>
    <col min="1047" max="1047" width="13.5703125" style="1" customWidth="1"/>
    <col min="1048" max="1284" width="9.140625" style="1"/>
    <col min="1285" max="1285" width="9.28515625" style="1" customWidth="1"/>
    <col min="1286" max="1286" width="1.7109375" style="1" customWidth="1"/>
    <col min="1287" max="1290" width="12" style="1" customWidth="1"/>
    <col min="1291" max="1291" width="11.85546875" style="1" customWidth="1"/>
    <col min="1292" max="1292" width="10.7109375" style="1" customWidth="1"/>
    <col min="1293" max="1293" width="10.5703125" style="1" customWidth="1"/>
    <col min="1294" max="1294" width="1.140625" style="1" customWidth="1"/>
    <col min="1295" max="1295" width="11.28515625" style="1" customWidth="1"/>
    <col min="1296" max="1296" width="12.7109375" style="1" customWidth="1"/>
    <col min="1297" max="1297" width="11.5703125" style="1" customWidth="1"/>
    <col min="1298" max="1298" width="12.42578125" style="1" customWidth="1"/>
    <col min="1299" max="1299" width="1.5703125" style="1" customWidth="1"/>
    <col min="1300" max="1300" width="11.42578125" style="1" customWidth="1"/>
    <col min="1301" max="1301" width="12.140625" style="1" customWidth="1"/>
    <col min="1302" max="1302" width="1.7109375" style="1" customWidth="1"/>
    <col min="1303" max="1303" width="13.5703125" style="1" customWidth="1"/>
    <col min="1304" max="1540" width="9.140625" style="1"/>
    <col min="1541" max="1541" width="9.28515625" style="1" customWidth="1"/>
    <col min="1542" max="1542" width="1.7109375" style="1" customWidth="1"/>
    <col min="1543" max="1546" width="12" style="1" customWidth="1"/>
    <col min="1547" max="1547" width="11.85546875" style="1" customWidth="1"/>
    <col min="1548" max="1548" width="10.7109375" style="1" customWidth="1"/>
    <col min="1549" max="1549" width="10.5703125" style="1" customWidth="1"/>
    <col min="1550" max="1550" width="1.140625" style="1" customWidth="1"/>
    <col min="1551" max="1551" width="11.28515625" style="1" customWidth="1"/>
    <col min="1552" max="1552" width="12.7109375" style="1" customWidth="1"/>
    <col min="1553" max="1553" width="11.5703125" style="1" customWidth="1"/>
    <col min="1554" max="1554" width="12.42578125" style="1" customWidth="1"/>
    <col min="1555" max="1555" width="1.5703125" style="1" customWidth="1"/>
    <col min="1556" max="1556" width="11.42578125" style="1" customWidth="1"/>
    <col min="1557" max="1557" width="12.140625" style="1" customWidth="1"/>
    <col min="1558" max="1558" width="1.7109375" style="1" customWidth="1"/>
    <col min="1559" max="1559" width="13.5703125" style="1" customWidth="1"/>
    <col min="1560" max="1796" width="9.140625" style="1"/>
    <col min="1797" max="1797" width="9.28515625" style="1" customWidth="1"/>
    <col min="1798" max="1798" width="1.7109375" style="1" customWidth="1"/>
    <col min="1799" max="1802" width="12" style="1" customWidth="1"/>
    <col min="1803" max="1803" width="11.85546875" style="1" customWidth="1"/>
    <col min="1804" max="1804" width="10.7109375" style="1" customWidth="1"/>
    <col min="1805" max="1805" width="10.5703125" style="1" customWidth="1"/>
    <col min="1806" max="1806" width="1.140625" style="1" customWidth="1"/>
    <col min="1807" max="1807" width="11.28515625" style="1" customWidth="1"/>
    <col min="1808" max="1808" width="12.7109375" style="1" customWidth="1"/>
    <col min="1809" max="1809" width="11.5703125" style="1" customWidth="1"/>
    <col min="1810" max="1810" width="12.42578125" style="1" customWidth="1"/>
    <col min="1811" max="1811" width="1.5703125" style="1" customWidth="1"/>
    <col min="1812" max="1812" width="11.42578125" style="1" customWidth="1"/>
    <col min="1813" max="1813" width="12.140625" style="1" customWidth="1"/>
    <col min="1814" max="1814" width="1.7109375" style="1" customWidth="1"/>
    <col min="1815" max="1815" width="13.5703125" style="1" customWidth="1"/>
    <col min="1816" max="2052" width="9.140625" style="1"/>
    <col min="2053" max="2053" width="9.28515625" style="1" customWidth="1"/>
    <col min="2054" max="2054" width="1.7109375" style="1" customWidth="1"/>
    <col min="2055" max="2058" width="12" style="1" customWidth="1"/>
    <col min="2059" max="2059" width="11.85546875" style="1" customWidth="1"/>
    <col min="2060" max="2060" width="10.7109375" style="1" customWidth="1"/>
    <col min="2061" max="2061" width="10.5703125" style="1" customWidth="1"/>
    <col min="2062" max="2062" width="1.140625" style="1" customWidth="1"/>
    <col min="2063" max="2063" width="11.28515625" style="1" customWidth="1"/>
    <col min="2064" max="2064" width="12.7109375" style="1" customWidth="1"/>
    <col min="2065" max="2065" width="11.5703125" style="1" customWidth="1"/>
    <col min="2066" max="2066" width="12.42578125" style="1" customWidth="1"/>
    <col min="2067" max="2067" width="1.5703125" style="1" customWidth="1"/>
    <col min="2068" max="2068" width="11.42578125" style="1" customWidth="1"/>
    <col min="2069" max="2069" width="12.140625" style="1" customWidth="1"/>
    <col min="2070" max="2070" width="1.7109375" style="1" customWidth="1"/>
    <col min="2071" max="2071" width="13.5703125" style="1" customWidth="1"/>
    <col min="2072" max="2308" width="9.140625" style="1"/>
    <col min="2309" max="2309" width="9.28515625" style="1" customWidth="1"/>
    <col min="2310" max="2310" width="1.7109375" style="1" customWidth="1"/>
    <col min="2311" max="2314" width="12" style="1" customWidth="1"/>
    <col min="2315" max="2315" width="11.85546875" style="1" customWidth="1"/>
    <col min="2316" max="2316" width="10.7109375" style="1" customWidth="1"/>
    <col min="2317" max="2317" width="10.5703125" style="1" customWidth="1"/>
    <col min="2318" max="2318" width="1.140625" style="1" customWidth="1"/>
    <col min="2319" max="2319" width="11.28515625" style="1" customWidth="1"/>
    <col min="2320" max="2320" width="12.7109375" style="1" customWidth="1"/>
    <col min="2321" max="2321" width="11.5703125" style="1" customWidth="1"/>
    <col min="2322" max="2322" width="12.42578125" style="1" customWidth="1"/>
    <col min="2323" max="2323" width="1.5703125" style="1" customWidth="1"/>
    <col min="2324" max="2324" width="11.42578125" style="1" customWidth="1"/>
    <col min="2325" max="2325" width="12.140625" style="1" customWidth="1"/>
    <col min="2326" max="2326" width="1.7109375" style="1" customWidth="1"/>
    <col min="2327" max="2327" width="13.5703125" style="1" customWidth="1"/>
    <col min="2328" max="2564" width="9.140625" style="1"/>
    <col min="2565" max="2565" width="9.28515625" style="1" customWidth="1"/>
    <col min="2566" max="2566" width="1.7109375" style="1" customWidth="1"/>
    <col min="2567" max="2570" width="12" style="1" customWidth="1"/>
    <col min="2571" max="2571" width="11.85546875" style="1" customWidth="1"/>
    <col min="2572" max="2572" width="10.7109375" style="1" customWidth="1"/>
    <col min="2573" max="2573" width="10.5703125" style="1" customWidth="1"/>
    <col min="2574" max="2574" width="1.140625" style="1" customWidth="1"/>
    <col min="2575" max="2575" width="11.28515625" style="1" customWidth="1"/>
    <col min="2576" max="2576" width="12.7109375" style="1" customWidth="1"/>
    <col min="2577" max="2577" width="11.5703125" style="1" customWidth="1"/>
    <col min="2578" max="2578" width="12.42578125" style="1" customWidth="1"/>
    <col min="2579" max="2579" width="1.5703125" style="1" customWidth="1"/>
    <col min="2580" max="2580" width="11.42578125" style="1" customWidth="1"/>
    <col min="2581" max="2581" width="12.140625" style="1" customWidth="1"/>
    <col min="2582" max="2582" width="1.7109375" style="1" customWidth="1"/>
    <col min="2583" max="2583" width="13.5703125" style="1" customWidth="1"/>
    <col min="2584" max="2820" width="9.140625" style="1"/>
    <col min="2821" max="2821" width="9.28515625" style="1" customWidth="1"/>
    <col min="2822" max="2822" width="1.7109375" style="1" customWidth="1"/>
    <col min="2823" max="2826" width="12" style="1" customWidth="1"/>
    <col min="2827" max="2827" width="11.85546875" style="1" customWidth="1"/>
    <col min="2828" max="2828" width="10.7109375" style="1" customWidth="1"/>
    <col min="2829" max="2829" width="10.5703125" style="1" customWidth="1"/>
    <col min="2830" max="2830" width="1.140625" style="1" customWidth="1"/>
    <col min="2831" max="2831" width="11.28515625" style="1" customWidth="1"/>
    <col min="2832" max="2832" width="12.7109375" style="1" customWidth="1"/>
    <col min="2833" max="2833" width="11.5703125" style="1" customWidth="1"/>
    <col min="2834" max="2834" width="12.42578125" style="1" customWidth="1"/>
    <col min="2835" max="2835" width="1.5703125" style="1" customWidth="1"/>
    <col min="2836" max="2836" width="11.42578125" style="1" customWidth="1"/>
    <col min="2837" max="2837" width="12.140625" style="1" customWidth="1"/>
    <col min="2838" max="2838" width="1.7109375" style="1" customWidth="1"/>
    <col min="2839" max="2839" width="13.5703125" style="1" customWidth="1"/>
    <col min="2840" max="3076" width="9.140625" style="1"/>
    <col min="3077" max="3077" width="9.28515625" style="1" customWidth="1"/>
    <col min="3078" max="3078" width="1.7109375" style="1" customWidth="1"/>
    <col min="3079" max="3082" width="12" style="1" customWidth="1"/>
    <col min="3083" max="3083" width="11.85546875" style="1" customWidth="1"/>
    <col min="3084" max="3084" width="10.7109375" style="1" customWidth="1"/>
    <col min="3085" max="3085" width="10.5703125" style="1" customWidth="1"/>
    <col min="3086" max="3086" width="1.140625" style="1" customWidth="1"/>
    <col min="3087" max="3087" width="11.28515625" style="1" customWidth="1"/>
    <col min="3088" max="3088" width="12.7109375" style="1" customWidth="1"/>
    <col min="3089" max="3089" width="11.5703125" style="1" customWidth="1"/>
    <col min="3090" max="3090" width="12.42578125" style="1" customWidth="1"/>
    <col min="3091" max="3091" width="1.5703125" style="1" customWidth="1"/>
    <col min="3092" max="3092" width="11.42578125" style="1" customWidth="1"/>
    <col min="3093" max="3093" width="12.140625" style="1" customWidth="1"/>
    <col min="3094" max="3094" width="1.7109375" style="1" customWidth="1"/>
    <col min="3095" max="3095" width="13.5703125" style="1" customWidth="1"/>
    <col min="3096" max="3332" width="9.140625" style="1"/>
    <col min="3333" max="3333" width="9.28515625" style="1" customWidth="1"/>
    <col min="3334" max="3334" width="1.7109375" style="1" customWidth="1"/>
    <col min="3335" max="3338" width="12" style="1" customWidth="1"/>
    <col min="3339" max="3339" width="11.85546875" style="1" customWidth="1"/>
    <col min="3340" max="3340" width="10.7109375" style="1" customWidth="1"/>
    <col min="3341" max="3341" width="10.5703125" style="1" customWidth="1"/>
    <col min="3342" max="3342" width="1.140625" style="1" customWidth="1"/>
    <col min="3343" max="3343" width="11.28515625" style="1" customWidth="1"/>
    <col min="3344" max="3344" width="12.7109375" style="1" customWidth="1"/>
    <col min="3345" max="3345" width="11.5703125" style="1" customWidth="1"/>
    <col min="3346" max="3346" width="12.42578125" style="1" customWidth="1"/>
    <col min="3347" max="3347" width="1.5703125" style="1" customWidth="1"/>
    <col min="3348" max="3348" width="11.42578125" style="1" customWidth="1"/>
    <col min="3349" max="3349" width="12.140625" style="1" customWidth="1"/>
    <col min="3350" max="3350" width="1.7109375" style="1" customWidth="1"/>
    <col min="3351" max="3351" width="13.5703125" style="1" customWidth="1"/>
    <col min="3352" max="3588" width="9.140625" style="1"/>
    <col min="3589" max="3589" width="9.28515625" style="1" customWidth="1"/>
    <col min="3590" max="3590" width="1.7109375" style="1" customWidth="1"/>
    <col min="3591" max="3594" width="12" style="1" customWidth="1"/>
    <col min="3595" max="3595" width="11.85546875" style="1" customWidth="1"/>
    <col min="3596" max="3596" width="10.7109375" style="1" customWidth="1"/>
    <col min="3597" max="3597" width="10.5703125" style="1" customWidth="1"/>
    <col min="3598" max="3598" width="1.140625" style="1" customWidth="1"/>
    <col min="3599" max="3599" width="11.28515625" style="1" customWidth="1"/>
    <col min="3600" max="3600" width="12.7109375" style="1" customWidth="1"/>
    <col min="3601" max="3601" width="11.5703125" style="1" customWidth="1"/>
    <col min="3602" max="3602" width="12.42578125" style="1" customWidth="1"/>
    <col min="3603" max="3603" width="1.5703125" style="1" customWidth="1"/>
    <col min="3604" max="3604" width="11.42578125" style="1" customWidth="1"/>
    <col min="3605" max="3605" width="12.140625" style="1" customWidth="1"/>
    <col min="3606" max="3606" width="1.7109375" style="1" customWidth="1"/>
    <col min="3607" max="3607" width="13.5703125" style="1" customWidth="1"/>
    <col min="3608" max="3844" width="9.140625" style="1"/>
    <col min="3845" max="3845" width="9.28515625" style="1" customWidth="1"/>
    <col min="3846" max="3846" width="1.7109375" style="1" customWidth="1"/>
    <col min="3847" max="3850" width="12" style="1" customWidth="1"/>
    <col min="3851" max="3851" width="11.85546875" style="1" customWidth="1"/>
    <col min="3852" max="3852" width="10.7109375" style="1" customWidth="1"/>
    <col min="3853" max="3853" width="10.5703125" style="1" customWidth="1"/>
    <col min="3854" max="3854" width="1.140625" style="1" customWidth="1"/>
    <col min="3855" max="3855" width="11.28515625" style="1" customWidth="1"/>
    <col min="3856" max="3856" width="12.7109375" style="1" customWidth="1"/>
    <col min="3857" max="3857" width="11.5703125" style="1" customWidth="1"/>
    <col min="3858" max="3858" width="12.42578125" style="1" customWidth="1"/>
    <col min="3859" max="3859" width="1.5703125" style="1" customWidth="1"/>
    <col min="3860" max="3860" width="11.42578125" style="1" customWidth="1"/>
    <col min="3861" max="3861" width="12.140625" style="1" customWidth="1"/>
    <col min="3862" max="3862" width="1.7109375" style="1" customWidth="1"/>
    <col min="3863" max="3863" width="13.5703125" style="1" customWidth="1"/>
    <col min="3864" max="4100" width="9.140625" style="1"/>
    <col min="4101" max="4101" width="9.28515625" style="1" customWidth="1"/>
    <col min="4102" max="4102" width="1.7109375" style="1" customWidth="1"/>
    <col min="4103" max="4106" width="12" style="1" customWidth="1"/>
    <col min="4107" max="4107" width="11.85546875" style="1" customWidth="1"/>
    <col min="4108" max="4108" width="10.7109375" style="1" customWidth="1"/>
    <col min="4109" max="4109" width="10.5703125" style="1" customWidth="1"/>
    <col min="4110" max="4110" width="1.140625" style="1" customWidth="1"/>
    <col min="4111" max="4111" width="11.28515625" style="1" customWidth="1"/>
    <col min="4112" max="4112" width="12.7109375" style="1" customWidth="1"/>
    <col min="4113" max="4113" width="11.5703125" style="1" customWidth="1"/>
    <col min="4114" max="4114" width="12.42578125" style="1" customWidth="1"/>
    <col min="4115" max="4115" width="1.5703125" style="1" customWidth="1"/>
    <col min="4116" max="4116" width="11.42578125" style="1" customWidth="1"/>
    <col min="4117" max="4117" width="12.140625" style="1" customWidth="1"/>
    <col min="4118" max="4118" width="1.7109375" style="1" customWidth="1"/>
    <col min="4119" max="4119" width="13.5703125" style="1" customWidth="1"/>
    <col min="4120" max="4356" width="9.140625" style="1"/>
    <col min="4357" max="4357" width="9.28515625" style="1" customWidth="1"/>
    <col min="4358" max="4358" width="1.7109375" style="1" customWidth="1"/>
    <col min="4359" max="4362" width="12" style="1" customWidth="1"/>
    <col min="4363" max="4363" width="11.85546875" style="1" customWidth="1"/>
    <col min="4364" max="4364" width="10.7109375" style="1" customWidth="1"/>
    <col min="4365" max="4365" width="10.5703125" style="1" customWidth="1"/>
    <col min="4366" max="4366" width="1.140625" style="1" customWidth="1"/>
    <col min="4367" max="4367" width="11.28515625" style="1" customWidth="1"/>
    <col min="4368" max="4368" width="12.7109375" style="1" customWidth="1"/>
    <col min="4369" max="4369" width="11.5703125" style="1" customWidth="1"/>
    <col min="4370" max="4370" width="12.42578125" style="1" customWidth="1"/>
    <col min="4371" max="4371" width="1.5703125" style="1" customWidth="1"/>
    <col min="4372" max="4372" width="11.42578125" style="1" customWidth="1"/>
    <col min="4373" max="4373" width="12.140625" style="1" customWidth="1"/>
    <col min="4374" max="4374" width="1.7109375" style="1" customWidth="1"/>
    <col min="4375" max="4375" width="13.5703125" style="1" customWidth="1"/>
    <col min="4376" max="4612" width="9.140625" style="1"/>
    <col min="4613" max="4613" width="9.28515625" style="1" customWidth="1"/>
    <col min="4614" max="4614" width="1.7109375" style="1" customWidth="1"/>
    <col min="4615" max="4618" width="12" style="1" customWidth="1"/>
    <col min="4619" max="4619" width="11.85546875" style="1" customWidth="1"/>
    <col min="4620" max="4620" width="10.7109375" style="1" customWidth="1"/>
    <col min="4621" max="4621" width="10.5703125" style="1" customWidth="1"/>
    <col min="4622" max="4622" width="1.140625" style="1" customWidth="1"/>
    <col min="4623" max="4623" width="11.28515625" style="1" customWidth="1"/>
    <col min="4624" max="4624" width="12.7109375" style="1" customWidth="1"/>
    <col min="4625" max="4625" width="11.5703125" style="1" customWidth="1"/>
    <col min="4626" max="4626" width="12.42578125" style="1" customWidth="1"/>
    <col min="4627" max="4627" width="1.5703125" style="1" customWidth="1"/>
    <col min="4628" max="4628" width="11.42578125" style="1" customWidth="1"/>
    <col min="4629" max="4629" width="12.140625" style="1" customWidth="1"/>
    <col min="4630" max="4630" width="1.7109375" style="1" customWidth="1"/>
    <col min="4631" max="4631" width="13.5703125" style="1" customWidth="1"/>
    <col min="4632" max="4868" width="9.140625" style="1"/>
    <col min="4869" max="4869" width="9.28515625" style="1" customWidth="1"/>
    <col min="4870" max="4870" width="1.7109375" style="1" customWidth="1"/>
    <col min="4871" max="4874" width="12" style="1" customWidth="1"/>
    <col min="4875" max="4875" width="11.85546875" style="1" customWidth="1"/>
    <col min="4876" max="4876" width="10.7109375" style="1" customWidth="1"/>
    <col min="4877" max="4877" width="10.5703125" style="1" customWidth="1"/>
    <col min="4878" max="4878" width="1.140625" style="1" customWidth="1"/>
    <col min="4879" max="4879" width="11.28515625" style="1" customWidth="1"/>
    <col min="4880" max="4880" width="12.7109375" style="1" customWidth="1"/>
    <col min="4881" max="4881" width="11.5703125" style="1" customWidth="1"/>
    <col min="4882" max="4882" width="12.42578125" style="1" customWidth="1"/>
    <col min="4883" max="4883" width="1.5703125" style="1" customWidth="1"/>
    <col min="4884" max="4884" width="11.42578125" style="1" customWidth="1"/>
    <col min="4885" max="4885" width="12.140625" style="1" customWidth="1"/>
    <col min="4886" max="4886" width="1.7109375" style="1" customWidth="1"/>
    <col min="4887" max="4887" width="13.5703125" style="1" customWidth="1"/>
    <col min="4888" max="5124" width="9.140625" style="1"/>
    <col min="5125" max="5125" width="9.28515625" style="1" customWidth="1"/>
    <col min="5126" max="5126" width="1.7109375" style="1" customWidth="1"/>
    <col min="5127" max="5130" width="12" style="1" customWidth="1"/>
    <col min="5131" max="5131" width="11.85546875" style="1" customWidth="1"/>
    <col min="5132" max="5132" width="10.7109375" style="1" customWidth="1"/>
    <col min="5133" max="5133" width="10.5703125" style="1" customWidth="1"/>
    <col min="5134" max="5134" width="1.140625" style="1" customWidth="1"/>
    <col min="5135" max="5135" width="11.28515625" style="1" customWidth="1"/>
    <col min="5136" max="5136" width="12.7109375" style="1" customWidth="1"/>
    <col min="5137" max="5137" width="11.5703125" style="1" customWidth="1"/>
    <col min="5138" max="5138" width="12.42578125" style="1" customWidth="1"/>
    <col min="5139" max="5139" width="1.5703125" style="1" customWidth="1"/>
    <col min="5140" max="5140" width="11.42578125" style="1" customWidth="1"/>
    <col min="5141" max="5141" width="12.140625" style="1" customWidth="1"/>
    <col min="5142" max="5142" width="1.7109375" style="1" customWidth="1"/>
    <col min="5143" max="5143" width="13.5703125" style="1" customWidth="1"/>
    <col min="5144" max="5380" width="9.140625" style="1"/>
    <col min="5381" max="5381" width="9.28515625" style="1" customWidth="1"/>
    <col min="5382" max="5382" width="1.7109375" style="1" customWidth="1"/>
    <col min="5383" max="5386" width="12" style="1" customWidth="1"/>
    <col min="5387" max="5387" width="11.85546875" style="1" customWidth="1"/>
    <col min="5388" max="5388" width="10.7109375" style="1" customWidth="1"/>
    <col min="5389" max="5389" width="10.5703125" style="1" customWidth="1"/>
    <col min="5390" max="5390" width="1.140625" style="1" customWidth="1"/>
    <col min="5391" max="5391" width="11.28515625" style="1" customWidth="1"/>
    <col min="5392" max="5392" width="12.7109375" style="1" customWidth="1"/>
    <col min="5393" max="5393" width="11.5703125" style="1" customWidth="1"/>
    <col min="5394" max="5394" width="12.42578125" style="1" customWidth="1"/>
    <col min="5395" max="5395" width="1.5703125" style="1" customWidth="1"/>
    <col min="5396" max="5396" width="11.42578125" style="1" customWidth="1"/>
    <col min="5397" max="5397" width="12.140625" style="1" customWidth="1"/>
    <col min="5398" max="5398" width="1.7109375" style="1" customWidth="1"/>
    <col min="5399" max="5399" width="13.5703125" style="1" customWidth="1"/>
    <col min="5400" max="5636" width="9.140625" style="1"/>
    <col min="5637" max="5637" width="9.28515625" style="1" customWidth="1"/>
    <col min="5638" max="5638" width="1.7109375" style="1" customWidth="1"/>
    <col min="5639" max="5642" width="12" style="1" customWidth="1"/>
    <col min="5643" max="5643" width="11.85546875" style="1" customWidth="1"/>
    <col min="5644" max="5644" width="10.7109375" style="1" customWidth="1"/>
    <col min="5645" max="5645" width="10.5703125" style="1" customWidth="1"/>
    <col min="5646" max="5646" width="1.140625" style="1" customWidth="1"/>
    <col min="5647" max="5647" width="11.28515625" style="1" customWidth="1"/>
    <col min="5648" max="5648" width="12.7109375" style="1" customWidth="1"/>
    <col min="5649" max="5649" width="11.5703125" style="1" customWidth="1"/>
    <col min="5650" max="5650" width="12.42578125" style="1" customWidth="1"/>
    <col min="5651" max="5651" width="1.5703125" style="1" customWidth="1"/>
    <col min="5652" max="5652" width="11.42578125" style="1" customWidth="1"/>
    <col min="5653" max="5653" width="12.140625" style="1" customWidth="1"/>
    <col min="5654" max="5654" width="1.7109375" style="1" customWidth="1"/>
    <col min="5655" max="5655" width="13.5703125" style="1" customWidth="1"/>
    <col min="5656" max="5892" width="9.140625" style="1"/>
    <col min="5893" max="5893" width="9.28515625" style="1" customWidth="1"/>
    <col min="5894" max="5894" width="1.7109375" style="1" customWidth="1"/>
    <col min="5895" max="5898" width="12" style="1" customWidth="1"/>
    <col min="5899" max="5899" width="11.85546875" style="1" customWidth="1"/>
    <col min="5900" max="5900" width="10.7109375" style="1" customWidth="1"/>
    <col min="5901" max="5901" width="10.5703125" style="1" customWidth="1"/>
    <col min="5902" max="5902" width="1.140625" style="1" customWidth="1"/>
    <col min="5903" max="5903" width="11.28515625" style="1" customWidth="1"/>
    <col min="5904" max="5904" width="12.7109375" style="1" customWidth="1"/>
    <col min="5905" max="5905" width="11.5703125" style="1" customWidth="1"/>
    <col min="5906" max="5906" width="12.42578125" style="1" customWidth="1"/>
    <col min="5907" max="5907" width="1.5703125" style="1" customWidth="1"/>
    <col min="5908" max="5908" width="11.42578125" style="1" customWidth="1"/>
    <col min="5909" max="5909" width="12.140625" style="1" customWidth="1"/>
    <col min="5910" max="5910" width="1.7109375" style="1" customWidth="1"/>
    <col min="5911" max="5911" width="13.5703125" style="1" customWidth="1"/>
    <col min="5912" max="6148" width="9.140625" style="1"/>
    <col min="6149" max="6149" width="9.28515625" style="1" customWidth="1"/>
    <col min="6150" max="6150" width="1.7109375" style="1" customWidth="1"/>
    <col min="6151" max="6154" width="12" style="1" customWidth="1"/>
    <col min="6155" max="6155" width="11.85546875" style="1" customWidth="1"/>
    <col min="6156" max="6156" width="10.7109375" style="1" customWidth="1"/>
    <col min="6157" max="6157" width="10.5703125" style="1" customWidth="1"/>
    <col min="6158" max="6158" width="1.140625" style="1" customWidth="1"/>
    <col min="6159" max="6159" width="11.28515625" style="1" customWidth="1"/>
    <col min="6160" max="6160" width="12.7109375" style="1" customWidth="1"/>
    <col min="6161" max="6161" width="11.5703125" style="1" customWidth="1"/>
    <col min="6162" max="6162" width="12.42578125" style="1" customWidth="1"/>
    <col min="6163" max="6163" width="1.5703125" style="1" customWidth="1"/>
    <col min="6164" max="6164" width="11.42578125" style="1" customWidth="1"/>
    <col min="6165" max="6165" width="12.140625" style="1" customWidth="1"/>
    <col min="6166" max="6166" width="1.7109375" style="1" customWidth="1"/>
    <col min="6167" max="6167" width="13.5703125" style="1" customWidth="1"/>
    <col min="6168" max="6404" width="9.140625" style="1"/>
    <col min="6405" max="6405" width="9.28515625" style="1" customWidth="1"/>
    <col min="6406" max="6406" width="1.7109375" style="1" customWidth="1"/>
    <col min="6407" max="6410" width="12" style="1" customWidth="1"/>
    <col min="6411" max="6411" width="11.85546875" style="1" customWidth="1"/>
    <col min="6412" max="6412" width="10.7109375" style="1" customWidth="1"/>
    <col min="6413" max="6413" width="10.5703125" style="1" customWidth="1"/>
    <col min="6414" max="6414" width="1.140625" style="1" customWidth="1"/>
    <col min="6415" max="6415" width="11.28515625" style="1" customWidth="1"/>
    <col min="6416" max="6416" width="12.7109375" style="1" customWidth="1"/>
    <col min="6417" max="6417" width="11.5703125" style="1" customWidth="1"/>
    <col min="6418" max="6418" width="12.42578125" style="1" customWidth="1"/>
    <col min="6419" max="6419" width="1.5703125" style="1" customWidth="1"/>
    <col min="6420" max="6420" width="11.42578125" style="1" customWidth="1"/>
    <col min="6421" max="6421" width="12.140625" style="1" customWidth="1"/>
    <col min="6422" max="6422" width="1.7109375" style="1" customWidth="1"/>
    <col min="6423" max="6423" width="13.5703125" style="1" customWidth="1"/>
    <col min="6424" max="6660" width="9.140625" style="1"/>
    <col min="6661" max="6661" width="9.28515625" style="1" customWidth="1"/>
    <col min="6662" max="6662" width="1.7109375" style="1" customWidth="1"/>
    <col min="6663" max="6666" width="12" style="1" customWidth="1"/>
    <col min="6667" max="6667" width="11.85546875" style="1" customWidth="1"/>
    <col min="6668" max="6668" width="10.7109375" style="1" customWidth="1"/>
    <col min="6669" max="6669" width="10.5703125" style="1" customWidth="1"/>
    <col min="6670" max="6670" width="1.140625" style="1" customWidth="1"/>
    <col min="6671" max="6671" width="11.28515625" style="1" customWidth="1"/>
    <col min="6672" max="6672" width="12.7109375" style="1" customWidth="1"/>
    <col min="6673" max="6673" width="11.5703125" style="1" customWidth="1"/>
    <col min="6674" max="6674" width="12.42578125" style="1" customWidth="1"/>
    <col min="6675" max="6675" width="1.5703125" style="1" customWidth="1"/>
    <col min="6676" max="6676" width="11.42578125" style="1" customWidth="1"/>
    <col min="6677" max="6677" width="12.140625" style="1" customWidth="1"/>
    <col min="6678" max="6678" width="1.7109375" style="1" customWidth="1"/>
    <col min="6679" max="6679" width="13.5703125" style="1" customWidth="1"/>
    <col min="6680" max="6916" width="9.140625" style="1"/>
    <col min="6917" max="6917" width="9.28515625" style="1" customWidth="1"/>
    <col min="6918" max="6918" width="1.7109375" style="1" customWidth="1"/>
    <col min="6919" max="6922" width="12" style="1" customWidth="1"/>
    <col min="6923" max="6923" width="11.85546875" style="1" customWidth="1"/>
    <col min="6924" max="6924" width="10.7109375" style="1" customWidth="1"/>
    <col min="6925" max="6925" width="10.5703125" style="1" customWidth="1"/>
    <col min="6926" max="6926" width="1.140625" style="1" customWidth="1"/>
    <col min="6927" max="6927" width="11.28515625" style="1" customWidth="1"/>
    <col min="6928" max="6928" width="12.7109375" style="1" customWidth="1"/>
    <col min="6929" max="6929" width="11.5703125" style="1" customWidth="1"/>
    <col min="6930" max="6930" width="12.42578125" style="1" customWidth="1"/>
    <col min="6931" max="6931" width="1.5703125" style="1" customWidth="1"/>
    <col min="6932" max="6932" width="11.42578125" style="1" customWidth="1"/>
    <col min="6933" max="6933" width="12.140625" style="1" customWidth="1"/>
    <col min="6934" max="6934" width="1.7109375" style="1" customWidth="1"/>
    <col min="6935" max="6935" width="13.5703125" style="1" customWidth="1"/>
    <col min="6936" max="7172" width="9.140625" style="1"/>
    <col min="7173" max="7173" width="9.28515625" style="1" customWidth="1"/>
    <col min="7174" max="7174" width="1.7109375" style="1" customWidth="1"/>
    <col min="7175" max="7178" width="12" style="1" customWidth="1"/>
    <col min="7179" max="7179" width="11.85546875" style="1" customWidth="1"/>
    <col min="7180" max="7180" width="10.7109375" style="1" customWidth="1"/>
    <col min="7181" max="7181" width="10.5703125" style="1" customWidth="1"/>
    <col min="7182" max="7182" width="1.140625" style="1" customWidth="1"/>
    <col min="7183" max="7183" width="11.28515625" style="1" customWidth="1"/>
    <col min="7184" max="7184" width="12.7109375" style="1" customWidth="1"/>
    <col min="7185" max="7185" width="11.5703125" style="1" customWidth="1"/>
    <col min="7186" max="7186" width="12.42578125" style="1" customWidth="1"/>
    <col min="7187" max="7187" width="1.5703125" style="1" customWidth="1"/>
    <col min="7188" max="7188" width="11.42578125" style="1" customWidth="1"/>
    <col min="7189" max="7189" width="12.140625" style="1" customWidth="1"/>
    <col min="7190" max="7190" width="1.7109375" style="1" customWidth="1"/>
    <col min="7191" max="7191" width="13.5703125" style="1" customWidth="1"/>
    <col min="7192" max="7428" width="9.140625" style="1"/>
    <col min="7429" max="7429" width="9.28515625" style="1" customWidth="1"/>
    <col min="7430" max="7430" width="1.7109375" style="1" customWidth="1"/>
    <col min="7431" max="7434" width="12" style="1" customWidth="1"/>
    <col min="7435" max="7435" width="11.85546875" style="1" customWidth="1"/>
    <col min="7436" max="7436" width="10.7109375" style="1" customWidth="1"/>
    <col min="7437" max="7437" width="10.5703125" style="1" customWidth="1"/>
    <col min="7438" max="7438" width="1.140625" style="1" customWidth="1"/>
    <col min="7439" max="7439" width="11.28515625" style="1" customWidth="1"/>
    <col min="7440" max="7440" width="12.7109375" style="1" customWidth="1"/>
    <col min="7441" max="7441" width="11.5703125" style="1" customWidth="1"/>
    <col min="7442" max="7442" width="12.42578125" style="1" customWidth="1"/>
    <col min="7443" max="7443" width="1.5703125" style="1" customWidth="1"/>
    <col min="7444" max="7444" width="11.42578125" style="1" customWidth="1"/>
    <col min="7445" max="7445" width="12.140625" style="1" customWidth="1"/>
    <col min="7446" max="7446" width="1.7109375" style="1" customWidth="1"/>
    <col min="7447" max="7447" width="13.5703125" style="1" customWidth="1"/>
    <col min="7448" max="7684" width="9.140625" style="1"/>
    <col min="7685" max="7685" width="9.28515625" style="1" customWidth="1"/>
    <col min="7686" max="7686" width="1.7109375" style="1" customWidth="1"/>
    <col min="7687" max="7690" width="12" style="1" customWidth="1"/>
    <col min="7691" max="7691" width="11.85546875" style="1" customWidth="1"/>
    <col min="7692" max="7692" width="10.7109375" style="1" customWidth="1"/>
    <col min="7693" max="7693" width="10.5703125" style="1" customWidth="1"/>
    <col min="7694" max="7694" width="1.140625" style="1" customWidth="1"/>
    <col min="7695" max="7695" width="11.28515625" style="1" customWidth="1"/>
    <col min="7696" max="7696" width="12.7109375" style="1" customWidth="1"/>
    <col min="7697" max="7697" width="11.5703125" style="1" customWidth="1"/>
    <col min="7698" max="7698" width="12.42578125" style="1" customWidth="1"/>
    <col min="7699" max="7699" width="1.5703125" style="1" customWidth="1"/>
    <col min="7700" max="7700" width="11.42578125" style="1" customWidth="1"/>
    <col min="7701" max="7701" width="12.140625" style="1" customWidth="1"/>
    <col min="7702" max="7702" width="1.7109375" style="1" customWidth="1"/>
    <col min="7703" max="7703" width="13.5703125" style="1" customWidth="1"/>
    <col min="7704" max="7940" width="9.140625" style="1"/>
    <col min="7941" max="7941" width="9.28515625" style="1" customWidth="1"/>
    <col min="7942" max="7942" width="1.7109375" style="1" customWidth="1"/>
    <col min="7943" max="7946" width="12" style="1" customWidth="1"/>
    <col min="7947" max="7947" width="11.85546875" style="1" customWidth="1"/>
    <col min="7948" max="7948" width="10.7109375" style="1" customWidth="1"/>
    <col min="7949" max="7949" width="10.5703125" style="1" customWidth="1"/>
    <col min="7950" max="7950" width="1.140625" style="1" customWidth="1"/>
    <col min="7951" max="7951" width="11.28515625" style="1" customWidth="1"/>
    <col min="7952" max="7952" width="12.7109375" style="1" customWidth="1"/>
    <col min="7953" max="7953" width="11.5703125" style="1" customWidth="1"/>
    <col min="7954" max="7954" width="12.42578125" style="1" customWidth="1"/>
    <col min="7955" max="7955" width="1.5703125" style="1" customWidth="1"/>
    <col min="7956" max="7956" width="11.42578125" style="1" customWidth="1"/>
    <col min="7957" max="7957" width="12.140625" style="1" customWidth="1"/>
    <col min="7958" max="7958" width="1.7109375" style="1" customWidth="1"/>
    <col min="7959" max="7959" width="13.5703125" style="1" customWidth="1"/>
    <col min="7960" max="8196" width="9.140625" style="1"/>
    <col min="8197" max="8197" width="9.28515625" style="1" customWidth="1"/>
    <col min="8198" max="8198" width="1.7109375" style="1" customWidth="1"/>
    <col min="8199" max="8202" width="12" style="1" customWidth="1"/>
    <col min="8203" max="8203" width="11.85546875" style="1" customWidth="1"/>
    <col min="8204" max="8204" width="10.7109375" style="1" customWidth="1"/>
    <col min="8205" max="8205" width="10.5703125" style="1" customWidth="1"/>
    <col min="8206" max="8206" width="1.140625" style="1" customWidth="1"/>
    <col min="8207" max="8207" width="11.28515625" style="1" customWidth="1"/>
    <col min="8208" max="8208" width="12.7109375" style="1" customWidth="1"/>
    <col min="8209" max="8209" width="11.5703125" style="1" customWidth="1"/>
    <col min="8210" max="8210" width="12.42578125" style="1" customWidth="1"/>
    <col min="8211" max="8211" width="1.5703125" style="1" customWidth="1"/>
    <col min="8212" max="8212" width="11.42578125" style="1" customWidth="1"/>
    <col min="8213" max="8213" width="12.140625" style="1" customWidth="1"/>
    <col min="8214" max="8214" width="1.7109375" style="1" customWidth="1"/>
    <col min="8215" max="8215" width="13.5703125" style="1" customWidth="1"/>
    <col min="8216" max="8452" width="9.140625" style="1"/>
    <col min="8453" max="8453" width="9.28515625" style="1" customWidth="1"/>
    <col min="8454" max="8454" width="1.7109375" style="1" customWidth="1"/>
    <col min="8455" max="8458" width="12" style="1" customWidth="1"/>
    <col min="8459" max="8459" width="11.85546875" style="1" customWidth="1"/>
    <col min="8460" max="8460" width="10.7109375" style="1" customWidth="1"/>
    <col min="8461" max="8461" width="10.5703125" style="1" customWidth="1"/>
    <col min="8462" max="8462" width="1.140625" style="1" customWidth="1"/>
    <col min="8463" max="8463" width="11.28515625" style="1" customWidth="1"/>
    <col min="8464" max="8464" width="12.7109375" style="1" customWidth="1"/>
    <col min="8465" max="8465" width="11.5703125" style="1" customWidth="1"/>
    <col min="8466" max="8466" width="12.42578125" style="1" customWidth="1"/>
    <col min="8467" max="8467" width="1.5703125" style="1" customWidth="1"/>
    <col min="8468" max="8468" width="11.42578125" style="1" customWidth="1"/>
    <col min="8469" max="8469" width="12.140625" style="1" customWidth="1"/>
    <col min="8470" max="8470" width="1.7109375" style="1" customWidth="1"/>
    <col min="8471" max="8471" width="13.5703125" style="1" customWidth="1"/>
    <col min="8472" max="8708" width="9.140625" style="1"/>
    <col min="8709" max="8709" width="9.28515625" style="1" customWidth="1"/>
    <col min="8710" max="8710" width="1.7109375" style="1" customWidth="1"/>
    <col min="8711" max="8714" width="12" style="1" customWidth="1"/>
    <col min="8715" max="8715" width="11.85546875" style="1" customWidth="1"/>
    <col min="8716" max="8716" width="10.7109375" style="1" customWidth="1"/>
    <col min="8717" max="8717" width="10.5703125" style="1" customWidth="1"/>
    <col min="8718" max="8718" width="1.140625" style="1" customWidth="1"/>
    <col min="8719" max="8719" width="11.28515625" style="1" customWidth="1"/>
    <col min="8720" max="8720" width="12.7109375" style="1" customWidth="1"/>
    <col min="8721" max="8721" width="11.5703125" style="1" customWidth="1"/>
    <col min="8722" max="8722" width="12.42578125" style="1" customWidth="1"/>
    <col min="8723" max="8723" width="1.5703125" style="1" customWidth="1"/>
    <col min="8724" max="8724" width="11.42578125" style="1" customWidth="1"/>
    <col min="8725" max="8725" width="12.140625" style="1" customWidth="1"/>
    <col min="8726" max="8726" width="1.7109375" style="1" customWidth="1"/>
    <col min="8727" max="8727" width="13.5703125" style="1" customWidth="1"/>
    <col min="8728" max="8964" width="9.140625" style="1"/>
    <col min="8965" max="8965" width="9.28515625" style="1" customWidth="1"/>
    <col min="8966" max="8966" width="1.7109375" style="1" customWidth="1"/>
    <col min="8967" max="8970" width="12" style="1" customWidth="1"/>
    <col min="8971" max="8971" width="11.85546875" style="1" customWidth="1"/>
    <col min="8972" max="8972" width="10.7109375" style="1" customWidth="1"/>
    <col min="8973" max="8973" width="10.5703125" style="1" customWidth="1"/>
    <col min="8974" max="8974" width="1.140625" style="1" customWidth="1"/>
    <col min="8975" max="8975" width="11.28515625" style="1" customWidth="1"/>
    <col min="8976" max="8976" width="12.7109375" style="1" customWidth="1"/>
    <col min="8977" max="8977" width="11.5703125" style="1" customWidth="1"/>
    <col min="8978" max="8978" width="12.42578125" style="1" customWidth="1"/>
    <col min="8979" max="8979" width="1.5703125" style="1" customWidth="1"/>
    <col min="8980" max="8980" width="11.42578125" style="1" customWidth="1"/>
    <col min="8981" max="8981" width="12.140625" style="1" customWidth="1"/>
    <col min="8982" max="8982" width="1.7109375" style="1" customWidth="1"/>
    <col min="8983" max="8983" width="13.5703125" style="1" customWidth="1"/>
    <col min="8984" max="9220" width="9.140625" style="1"/>
    <col min="9221" max="9221" width="9.28515625" style="1" customWidth="1"/>
    <col min="9222" max="9222" width="1.7109375" style="1" customWidth="1"/>
    <col min="9223" max="9226" width="12" style="1" customWidth="1"/>
    <col min="9227" max="9227" width="11.85546875" style="1" customWidth="1"/>
    <col min="9228" max="9228" width="10.7109375" style="1" customWidth="1"/>
    <col min="9229" max="9229" width="10.5703125" style="1" customWidth="1"/>
    <col min="9230" max="9230" width="1.140625" style="1" customWidth="1"/>
    <col min="9231" max="9231" width="11.28515625" style="1" customWidth="1"/>
    <col min="9232" max="9232" width="12.7109375" style="1" customWidth="1"/>
    <col min="9233" max="9233" width="11.5703125" style="1" customWidth="1"/>
    <col min="9234" max="9234" width="12.42578125" style="1" customWidth="1"/>
    <col min="9235" max="9235" width="1.5703125" style="1" customWidth="1"/>
    <col min="9236" max="9236" width="11.42578125" style="1" customWidth="1"/>
    <col min="9237" max="9237" width="12.140625" style="1" customWidth="1"/>
    <col min="9238" max="9238" width="1.7109375" style="1" customWidth="1"/>
    <col min="9239" max="9239" width="13.5703125" style="1" customWidth="1"/>
    <col min="9240" max="9476" width="9.140625" style="1"/>
    <col min="9477" max="9477" width="9.28515625" style="1" customWidth="1"/>
    <col min="9478" max="9478" width="1.7109375" style="1" customWidth="1"/>
    <col min="9479" max="9482" width="12" style="1" customWidth="1"/>
    <col min="9483" max="9483" width="11.85546875" style="1" customWidth="1"/>
    <col min="9484" max="9484" width="10.7109375" style="1" customWidth="1"/>
    <col min="9485" max="9485" width="10.5703125" style="1" customWidth="1"/>
    <col min="9486" max="9486" width="1.140625" style="1" customWidth="1"/>
    <col min="9487" max="9487" width="11.28515625" style="1" customWidth="1"/>
    <col min="9488" max="9488" width="12.7109375" style="1" customWidth="1"/>
    <col min="9489" max="9489" width="11.5703125" style="1" customWidth="1"/>
    <col min="9490" max="9490" width="12.42578125" style="1" customWidth="1"/>
    <col min="9491" max="9491" width="1.5703125" style="1" customWidth="1"/>
    <col min="9492" max="9492" width="11.42578125" style="1" customWidth="1"/>
    <col min="9493" max="9493" width="12.140625" style="1" customWidth="1"/>
    <col min="9494" max="9494" width="1.7109375" style="1" customWidth="1"/>
    <col min="9495" max="9495" width="13.5703125" style="1" customWidth="1"/>
    <col min="9496" max="9732" width="9.140625" style="1"/>
    <col min="9733" max="9733" width="9.28515625" style="1" customWidth="1"/>
    <col min="9734" max="9734" width="1.7109375" style="1" customWidth="1"/>
    <col min="9735" max="9738" width="12" style="1" customWidth="1"/>
    <col min="9739" max="9739" width="11.85546875" style="1" customWidth="1"/>
    <col min="9740" max="9740" width="10.7109375" style="1" customWidth="1"/>
    <col min="9741" max="9741" width="10.5703125" style="1" customWidth="1"/>
    <col min="9742" max="9742" width="1.140625" style="1" customWidth="1"/>
    <col min="9743" max="9743" width="11.28515625" style="1" customWidth="1"/>
    <col min="9744" max="9744" width="12.7109375" style="1" customWidth="1"/>
    <col min="9745" max="9745" width="11.5703125" style="1" customWidth="1"/>
    <col min="9746" max="9746" width="12.42578125" style="1" customWidth="1"/>
    <col min="9747" max="9747" width="1.5703125" style="1" customWidth="1"/>
    <col min="9748" max="9748" width="11.42578125" style="1" customWidth="1"/>
    <col min="9749" max="9749" width="12.140625" style="1" customWidth="1"/>
    <col min="9750" max="9750" width="1.7109375" style="1" customWidth="1"/>
    <col min="9751" max="9751" width="13.5703125" style="1" customWidth="1"/>
    <col min="9752" max="9988" width="9.140625" style="1"/>
    <col min="9989" max="9989" width="9.28515625" style="1" customWidth="1"/>
    <col min="9990" max="9990" width="1.7109375" style="1" customWidth="1"/>
    <col min="9991" max="9994" width="12" style="1" customWidth="1"/>
    <col min="9995" max="9995" width="11.85546875" style="1" customWidth="1"/>
    <col min="9996" max="9996" width="10.7109375" style="1" customWidth="1"/>
    <col min="9997" max="9997" width="10.5703125" style="1" customWidth="1"/>
    <col min="9998" max="9998" width="1.140625" style="1" customWidth="1"/>
    <col min="9999" max="9999" width="11.28515625" style="1" customWidth="1"/>
    <col min="10000" max="10000" width="12.7109375" style="1" customWidth="1"/>
    <col min="10001" max="10001" width="11.5703125" style="1" customWidth="1"/>
    <col min="10002" max="10002" width="12.42578125" style="1" customWidth="1"/>
    <col min="10003" max="10003" width="1.5703125" style="1" customWidth="1"/>
    <col min="10004" max="10004" width="11.42578125" style="1" customWidth="1"/>
    <col min="10005" max="10005" width="12.140625" style="1" customWidth="1"/>
    <col min="10006" max="10006" width="1.7109375" style="1" customWidth="1"/>
    <col min="10007" max="10007" width="13.5703125" style="1" customWidth="1"/>
    <col min="10008" max="10244" width="9.140625" style="1"/>
    <col min="10245" max="10245" width="9.28515625" style="1" customWidth="1"/>
    <col min="10246" max="10246" width="1.7109375" style="1" customWidth="1"/>
    <col min="10247" max="10250" width="12" style="1" customWidth="1"/>
    <col min="10251" max="10251" width="11.85546875" style="1" customWidth="1"/>
    <col min="10252" max="10252" width="10.7109375" style="1" customWidth="1"/>
    <col min="10253" max="10253" width="10.5703125" style="1" customWidth="1"/>
    <col min="10254" max="10254" width="1.140625" style="1" customWidth="1"/>
    <col min="10255" max="10255" width="11.28515625" style="1" customWidth="1"/>
    <col min="10256" max="10256" width="12.7109375" style="1" customWidth="1"/>
    <col min="10257" max="10257" width="11.5703125" style="1" customWidth="1"/>
    <col min="10258" max="10258" width="12.42578125" style="1" customWidth="1"/>
    <col min="10259" max="10259" width="1.5703125" style="1" customWidth="1"/>
    <col min="10260" max="10260" width="11.42578125" style="1" customWidth="1"/>
    <col min="10261" max="10261" width="12.140625" style="1" customWidth="1"/>
    <col min="10262" max="10262" width="1.7109375" style="1" customWidth="1"/>
    <col min="10263" max="10263" width="13.5703125" style="1" customWidth="1"/>
    <col min="10264" max="10500" width="9.140625" style="1"/>
    <col min="10501" max="10501" width="9.28515625" style="1" customWidth="1"/>
    <col min="10502" max="10502" width="1.7109375" style="1" customWidth="1"/>
    <col min="10503" max="10506" width="12" style="1" customWidth="1"/>
    <col min="10507" max="10507" width="11.85546875" style="1" customWidth="1"/>
    <col min="10508" max="10508" width="10.7109375" style="1" customWidth="1"/>
    <col min="10509" max="10509" width="10.5703125" style="1" customWidth="1"/>
    <col min="10510" max="10510" width="1.140625" style="1" customWidth="1"/>
    <col min="10511" max="10511" width="11.28515625" style="1" customWidth="1"/>
    <col min="10512" max="10512" width="12.7109375" style="1" customWidth="1"/>
    <col min="10513" max="10513" width="11.5703125" style="1" customWidth="1"/>
    <col min="10514" max="10514" width="12.42578125" style="1" customWidth="1"/>
    <col min="10515" max="10515" width="1.5703125" style="1" customWidth="1"/>
    <col min="10516" max="10516" width="11.42578125" style="1" customWidth="1"/>
    <col min="10517" max="10517" width="12.140625" style="1" customWidth="1"/>
    <col min="10518" max="10518" width="1.7109375" style="1" customWidth="1"/>
    <col min="10519" max="10519" width="13.5703125" style="1" customWidth="1"/>
    <col min="10520" max="10756" width="9.140625" style="1"/>
    <col min="10757" max="10757" width="9.28515625" style="1" customWidth="1"/>
    <col min="10758" max="10758" width="1.7109375" style="1" customWidth="1"/>
    <col min="10759" max="10762" width="12" style="1" customWidth="1"/>
    <col min="10763" max="10763" width="11.85546875" style="1" customWidth="1"/>
    <col min="10764" max="10764" width="10.7109375" style="1" customWidth="1"/>
    <col min="10765" max="10765" width="10.5703125" style="1" customWidth="1"/>
    <col min="10766" max="10766" width="1.140625" style="1" customWidth="1"/>
    <col min="10767" max="10767" width="11.28515625" style="1" customWidth="1"/>
    <col min="10768" max="10768" width="12.7109375" style="1" customWidth="1"/>
    <col min="10769" max="10769" width="11.5703125" style="1" customWidth="1"/>
    <col min="10770" max="10770" width="12.42578125" style="1" customWidth="1"/>
    <col min="10771" max="10771" width="1.5703125" style="1" customWidth="1"/>
    <col min="10772" max="10772" width="11.42578125" style="1" customWidth="1"/>
    <col min="10773" max="10773" width="12.140625" style="1" customWidth="1"/>
    <col min="10774" max="10774" width="1.7109375" style="1" customWidth="1"/>
    <col min="10775" max="10775" width="13.5703125" style="1" customWidth="1"/>
    <col min="10776" max="11012" width="9.140625" style="1"/>
    <col min="11013" max="11013" width="9.28515625" style="1" customWidth="1"/>
    <col min="11014" max="11014" width="1.7109375" style="1" customWidth="1"/>
    <col min="11015" max="11018" width="12" style="1" customWidth="1"/>
    <col min="11019" max="11019" width="11.85546875" style="1" customWidth="1"/>
    <col min="11020" max="11020" width="10.7109375" style="1" customWidth="1"/>
    <col min="11021" max="11021" width="10.5703125" style="1" customWidth="1"/>
    <col min="11022" max="11022" width="1.140625" style="1" customWidth="1"/>
    <col min="11023" max="11023" width="11.28515625" style="1" customWidth="1"/>
    <col min="11024" max="11024" width="12.7109375" style="1" customWidth="1"/>
    <col min="11025" max="11025" width="11.5703125" style="1" customWidth="1"/>
    <col min="11026" max="11026" width="12.42578125" style="1" customWidth="1"/>
    <col min="11027" max="11027" width="1.5703125" style="1" customWidth="1"/>
    <col min="11028" max="11028" width="11.42578125" style="1" customWidth="1"/>
    <col min="11029" max="11029" width="12.140625" style="1" customWidth="1"/>
    <col min="11030" max="11030" width="1.7109375" style="1" customWidth="1"/>
    <col min="11031" max="11031" width="13.5703125" style="1" customWidth="1"/>
    <col min="11032" max="11268" width="9.140625" style="1"/>
    <col min="11269" max="11269" width="9.28515625" style="1" customWidth="1"/>
    <col min="11270" max="11270" width="1.7109375" style="1" customWidth="1"/>
    <col min="11271" max="11274" width="12" style="1" customWidth="1"/>
    <col min="11275" max="11275" width="11.85546875" style="1" customWidth="1"/>
    <col min="11276" max="11276" width="10.7109375" style="1" customWidth="1"/>
    <col min="11277" max="11277" width="10.5703125" style="1" customWidth="1"/>
    <col min="11278" max="11278" width="1.140625" style="1" customWidth="1"/>
    <col min="11279" max="11279" width="11.28515625" style="1" customWidth="1"/>
    <col min="11280" max="11280" width="12.7109375" style="1" customWidth="1"/>
    <col min="11281" max="11281" width="11.5703125" style="1" customWidth="1"/>
    <col min="11282" max="11282" width="12.42578125" style="1" customWidth="1"/>
    <col min="11283" max="11283" width="1.5703125" style="1" customWidth="1"/>
    <col min="11284" max="11284" width="11.42578125" style="1" customWidth="1"/>
    <col min="11285" max="11285" width="12.140625" style="1" customWidth="1"/>
    <col min="11286" max="11286" width="1.7109375" style="1" customWidth="1"/>
    <col min="11287" max="11287" width="13.5703125" style="1" customWidth="1"/>
    <col min="11288" max="11524" width="9.140625" style="1"/>
    <col min="11525" max="11525" width="9.28515625" style="1" customWidth="1"/>
    <col min="11526" max="11526" width="1.7109375" style="1" customWidth="1"/>
    <col min="11527" max="11530" width="12" style="1" customWidth="1"/>
    <col min="11531" max="11531" width="11.85546875" style="1" customWidth="1"/>
    <col min="11532" max="11532" width="10.7109375" style="1" customWidth="1"/>
    <col min="11533" max="11533" width="10.5703125" style="1" customWidth="1"/>
    <col min="11534" max="11534" width="1.140625" style="1" customWidth="1"/>
    <col min="11535" max="11535" width="11.28515625" style="1" customWidth="1"/>
    <col min="11536" max="11536" width="12.7109375" style="1" customWidth="1"/>
    <col min="11537" max="11537" width="11.5703125" style="1" customWidth="1"/>
    <col min="11538" max="11538" width="12.42578125" style="1" customWidth="1"/>
    <col min="11539" max="11539" width="1.5703125" style="1" customWidth="1"/>
    <col min="11540" max="11540" width="11.42578125" style="1" customWidth="1"/>
    <col min="11541" max="11541" width="12.140625" style="1" customWidth="1"/>
    <col min="11542" max="11542" width="1.7109375" style="1" customWidth="1"/>
    <col min="11543" max="11543" width="13.5703125" style="1" customWidth="1"/>
    <col min="11544" max="11780" width="9.140625" style="1"/>
    <col min="11781" max="11781" width="9.28515625" style="1" customWidth="1"/>
    <col min="11782" max="11782" width="1.7109375" style="1" customWidth="1"/>
    <col min="11783" max="11786" width="12" style="1" customWidth="1"/>
    <col min="11787" max="11787" width="11.85546875" style="1" customWidth="1"/>
    <col min="11788" max="11788" width="10.7109375" style="1" customWidth="1"/>
    <col min="11789" max="11789" width="10.5703125" style="1" customWidth="1"/>
    <col min="11790" max="11790" width="1.140625" style="1" customWidth="1"/>
    <col min="11791" max="11791" width="11.28515625" style="1" customWidth="1"/>
    <col min="11792" max="11792" width="12.7109375" style="1" customWidth="1"/>
    <col min="11793" max="11793" width="11.5703125" style="1" customWidth="1"/>
    <col min="11794" max="11794" width="12.42578125" style="1" customWidth="1"/>
    <col min="11795" max="11795" width="1.5703125" style="1" customWidth="1"/>
    <col min="11796" max="11796" width="11.42578125" style="1" customWidth="1"/>
    <col min="11797" max="11797" width="12.140625" style="1" customWidth="1"/>
    <col min="11798" max="11798" width="1.7109375" style="1" customWidth="1"/>
    <col min="11799" max="11799" width="13.5703125" style="1" customWidth="1"/>
    <col min="11800" max="12036" width="9.140625" style="1"/>
    <col min="12037" max="12037" width="9.28515625" style="1" customWidth="1"/>
    <col min="12038" max="12038" width="1.7109375" style="1" customWidth="1"/>
    <col min="12039" max="12042" width="12" style="1" customWidth="1"/>
    <col min="12043" max="12043" width="11.85546875" style="1" customWidth="1"/>
    <col min="12044" max="12044" width="10.7109375" style="1" customWidth="1"/>
    <col min="12045" max="12045" width="10.5703125" style="1" customWidth="1"/>
    <col min="12046" max="12046" width="1.140625" style="1" customWidth="1"/>
    <col min="12047" max="12047" width="11.28515625" style="1" customWidth="1"/>
    <col min="12048" max="12048" width="12.7109375" style="1" customWidth="1"/>
    <col min="12049" max="12049" width="11.5703125" style="1" customWidth="1"/>
    <col min="12050" max="12050" width="12.42578125" style="1" customWidth="1"/>
    <col min="12051" max="12051" width="1.5703125" style="1" customWidth="1"/>
    <col min="12052" max="12052" width="11.42578125" style="1" customWidth="1"/>
    <col min="12053" max="12053" width="12.140625" style="1" customWidth="1"/>
    <col min="12054" max="12054" width="1.7109375" style="1" customWidth="1"/>
    <col min="12055" max="12055" width="13.5703125" style="1" customWidth="1"/>
    <col min="12056" max="12292" width="9.140625" style="1"/>
    <col min="12293" max="12293" width="9.28515625" style="1" customWidth="1"/>
    <col min="12294" max="12294" width="1.7109375" style="1" customWidth="1"/>
    <col min="12295" max="12298" width="12" style="1" customWidth="1"/>
    <col min="12299" max="12299" width="11.85546875" style="1" customWidth="1"/>
    <col min="12300" max="12300" width="10.7109375" style="1" customWidth="1"/>
    <col min="12301" max="12301" width="10.5703125" style="1" customWidth="1"/>
    <col min="12302" max="12302" width="1.140625" style="1" customWidth="1"/>
    <col min="12303" max="12303" width="11.28515625" style="1" customWidth="1"/>
    <col min="12304" max="12304" width="12.7109375" style="1" customWidth="1"/>
    <col min="12305" max="12305" width="11.5703125" style="1" customWidth="1"/>
    <col min="12306" max="12306" width="12.42578125" style="1" customWidth="1"/>
    <col min="12307" max="12307" width="1.5703125" style="1" customWidth="1"/>
    <col min="12308" max="12308" width="11.42578125" style="1" customWidth="1"/>
    <col min="12309" max="12309" width="12.140625" style="1" customWidth="1"/>
    <col min="12310" max="12310" width="1.7109375" style="1" customWidth="1"/>
    <col min="12311" max="12311" width="13.5703125" style="1" customWidth="1"/>
    <col min="12312" max="12548" width="9.140625" style="1"/>
    <col min="12549" max="12549" width="9.28515625" style="1" customWidth="1"/>
    <col min="12550" max="12550" width="1.7109375" style="1" customWidth="1"/>
    <col min="12551" max="12554" width="12" style="1" customWidth="1"/>
    <col min="12555" max="12555" width="11.85546875" style="1" customWidth="1"/>
    <col min="12556" max="12556" width="10.7109375" style="1" customWidth="1"/>
    <col min="12557" max="12557" width="10.5703125" style="1" customWidth="1"/>
    <col min="12558" max="12558" width="1.140625" style="1" customWidth="1"/>
    <col min="12559" max="12559" width="11.28515625" style="1" customWidth="1"/>
    <col min="12560" max="12560" width="12.7109375" style="1" customWidth="1"/>
    <col min="12561" max="12561" width="11.5703125" style="1" customWidth="1"/>
    <col min="12562" max="12562" width="12.42578125" style="1" customWidth="1"/>
    <col min="12563" max="12563" width="1.5703125" style="1" customWidth="1"/>
    <col min="12564" max="12564" width="11.42578125" style="1" customWidth="1"/>
    <col min="12565" max="12565" width="12.140625" style="1" customWidth="1"/>
    <col min="12566" max="12566" width="1.7109375" style="1" customWidth="1"/>
    <col min="12567" max="12567" width="13.5703125" style="1" customWidth="1"/>
    <col min="12568" max="12804" width="9.140625" style="1"/>
    <col min="12805" max="12805" width="9.28515625" style="1" customWidth="1"/>
    <col min="12806" max="12806" width="1.7109375" style="1" customWidth="1"/>
    <col min="12807" max="12810" width="12" style="1" customWidth="1"/>
    <col min="12811" max="12811" width="11.85546875" style="1" customWidth="1"/>
    <col min="12812" max="12812" width="10.7109375" style="1" customWidth="1"/>
    <col min="12813" max="12813" width="10.5703125" style="1" customWidth="1"/>
    <col min="12814" max="12814" width="1.140625" style="1" customWidth="1"/>
    <col min="12815" max="12815" width="11.28515625" style="1" customWidth="1"/>
    <col min="12816" max="12816" width="12.7109375" style="1" customWidth="1"/>
    <col min="12817" max="12817" width="11.5703125" style="1" customWidth="1"/>
    <col min="12818" max="12818" width="12.42578125" style="1" customWidth="1"/>
    <col min="12819" max="12819" width="1.5703125" style="1" customWidth="1"/>
    <col min="12820" max="12820" width="11.42578125" style="1" customWidth="1"/>
    <col min="12821" max="12821" width="12.140625" style="1" customWidth="1"/>
    <col min="12822" max="12822" width="1.7109375" style="1" customWidth="1"/>
    <col min="12823" max="12823" width="13.5703125" style="1" customWidth="1"/>
    <col min="12824" max="13060" width="9.140625" style="1"/>
    <col min="13061" max="13061" width="9.28515625" style="1" customWidth="1"/>
    <col min="13062" max="13062" width="1.7109375" style="1" customWidth="1"/>
    <col min="13063" max="13066" width="12" style="1" customWidth="1"/>
    <col min="13067" max="13067" width="11.85546875" style="1" customWidth="1"/>
    <col min="13068" max="13068" width="10.7109375" style="1" customWidth="1"/>
    <col min="13069" max="13069" width="10.5703125" style="1" customWidth="1"/>
    <col min="13070" max="13070" width="1.140625" style="1" customWidth="1"/>
    <col min="13071" max="13071" width="11.28515625" style="1" customWidth="1"/>
    <col min="13072" max="13072" width="12.7109375" style="1" customWidth="1"/>
    <col min="13073" max="13073" width="11.5703125" style="1" customWidth="1"/>
    <col min="13074" max="13074" width="12.42578125" style="1" customWidth="1"/>
    <col min="13075" max="13075" width="1.5703125" style="1" customWidth="1"/>
    <col min="13076" max="13076" width="11.42578125" style="1" customWidth="1"/>
    <col min="13077" max="13077" width="12.140625" style="1" customWidth="1"/>
    <col min="13078" max="13078" width="1.7109375" style="1" customWidth="1"/>
    <col min="13079" max="13079" width="13.5703125" style="1" customWidth="1"/>
    <col min="13080" max="13316" width="9.140625" style="1"/>
    <col min="13317" max="13317" width="9.28515625" style="1" customWidth="1"/>
    <col min="13318" max="13318" width="1.7109375" style="1" customWidth="1"/>
    <col min="13319" max="13322" width="12" style="1" customWidth="1"/>
    <col min="13323" max="13323" width="11.85546875" style="1" customWidth="1"/>
    <col min="13324" max="13324" width="10.7109375" style="1" customWidth="1"/>
    <col min="13325" max="13325" width="10.5703125" style="1" customWidth="1"/>
    <col min="13326" max="13326" width="1.140625" style="1" customWidth="1"/>
    <col min="13327" max="13327" width="11.28515625" style="1" customWidth="1"/>
    <col min="13328" max="13328" width="12.7109375" style="1" customWidth="1"/>
    <col min="13329" max="13329" width="11.5703125" style="1" customWidth="1"/>
    <col min="13330" max="13330" width="12.42578125" style="1" customWidth="1"/>
    <col min="13331" max="13331" width="1.5703125" style="1" customWidth="1"/>
    <col min="13332" max="13332" width="11.42578125" style="1" customWidth="1"/>
    <col min="13333" max="13333" width="12.140625" style="1" customWidth="1"/>
    <col min="13334" max="13334" width="1.7109375" style="1" customWidth="1"/>
    <col min="13335" max="13335" width="13.5703125" style="1" customWidth="1"/>
    <col min="13336" max="13572" width="9.140625" style="1"/>
    <col min="13573" max="13573" width="9.28515625" style="1" customWidth="1"/>
    <col min="13574" max="13574" width="1.7109375" style="1" customWidth="1"/>
    <col min="13575" max="13578" width="12" style="1" customWidth="1"/>
    <col min="13579" max="13579" width="11.85546875" style="1" customWidth="1"/>
    <col min="13580" max="13580" width="10.7109375" style="1" customWidth="1"/>
    <col min="13581" max="13581" width="10.5703125" style="1" customWidth="1"/>
    <col min="13582" max="13582" width="1.140625" style="1" customWidth="1"/>
    <col min="13583" max="13583" width="11.28515625" style="1" customWidth="1"/>
    <col min="13584" max="13584" width="12.7109375" style="1" customWidth="1"/>
    <col min="13585" max="13585" width="11.5703125" style="1" customWidth="1"/>
    <col min="13586" max="13586" width="12.42578125" style="1" customWidth="1"/>
    <col min="13587" max="13587" width="1.5703125" style="1" customWidth="1"/>
    <col min="13588" max="13588" width="11.42578125" style="1" customWidth="1"/>
    <col min="13589" max="13589" width="12.140625" style="1" customWidth="1"/>
    <col min="13590" max="13590" width="1.7109375" style="1" customWidth="1"/>
    <col min="13591" max="13591" width="13.5703125" style="1" customWidth="1"/>
    <col min="13592" max="13828" width="9.140625" style="1"/>
    <col min="13829" max="13829" width="9.28515625" style="1" customWidth="1"/>
    <col min="13830" max="13830" width="1.7109375" style="1" customWidth="1"/>
    <col min="13831" max="13834" width="12" style="1" customWidth="1"/>
    <col min="13835" max="13835" width="11.85546875" style="1" customWidth="1"/>
    <col min="13836" max="13836" width="10.7109375" style="1" customWidth="1"/>
    <col min="13837" max="13837" width="10.5703125" style="1" customWidth="1"/>
    <col min="13838" max="13838" width="1.140625" style="1" customWidth="1"/>
    <col min="13839" max="13839" width="11.28515625" style="1" customWidth="1"/>
    <col min="13840" max="13840" width="12.7109375" style="1" customWidth="1"/>
    <col min="13841" max="13841" width="11.5703125" style="1" customWidth="1"/>
    <col min="13842" max="13842" width="12.42578125" style="1" customWidth="1"/>
    <col min="13843" max="13843" width="1.5703125" style="1" customWidth="1"/>
    <col min="13844" max="13844" width="11.42578125" style="1" customWidth="1"/>
    <col min="13845" max="13845" width="12.140625" style="1" customWidth="1"/>
    <col min="13846" max="13846" width="1.7109375" style="1" customWidth="1"/>
    <col min="13847" max="13847" width="13.5703125" style="1" customWidth="1"/>
    <col min="13848" max="14084" width="9.140625" style="1"/>
    <col min="14085" max="14085" width="9.28515625" style="1" customWidth="1"/>
    <col min="14086" max="14086" width="1.7109375" style="1" customWidth="1"/>
    <col min="14087" max="14090" width="12" style="1" customWidth="1"/>
    <col min="14091" max="14091" width="11.85546875" style="1" customWidth="1"/>
    <col min="14092" max="14092" width="10.7109375" style="1" customWidth="1"/>
    <col min="14093" max="14093" width="10.5703125" style="1" customWidth="1"/>
    <col min="14094" max="14094" width="1.140625" style="1" customWidth="1"/>
    <col min="14095" max="14095" width="11.28515625" style="1" customWidth="1"/>
    <col min="14096" max="14096" width="12.7109375" style="1" customWidth="1"/>
    <col min="14097" max="14097" width="11.5703125" style="1" customWidth="1"/>
    <col min="14098" max="14098" width="12.42578125" style="1" customWidth="1"/>
    <col min="14099" max="14099" width="1.5703125" style="1" customWidth="1"/>
    <col min="14100" max="14100" width="11.42578125" style="1" customWidth="1"/>
    <col min="14101" max="14101" width="12.140625" style="1" customWidth="1"/>
    <col min="14102" max="14102" width="1.7109375" style="1" customWidth="1"/>
    <col min="14103" max="14103" width="13.5703125" style="1" customWidth="1"/>
    <col min="14104" max="14340" width="9.140625" style="1"/>
    <col min="14341" max="14341" width="9.28515625" style="1" customWidth="1"/>
    <col min="14342" max="14342" width="1.7109375" style="1" customWidth="1"/>
    <col min="14343" max="14346" width="12" style="1" customWidth="1"/>
    <col min="14347" max="14347" width="11.85546875" style="1" customWidth="1"/>
    <col min="14348" max="14348" width="10.7109375" style="1" customWidth="1"/>
    <col min="14349" max="14349" width="10.5703125" style="1" customWidth="1"/>
    <col min="14350" max="14350" width="1.140625" style="1" customWidth="1"/>
    <col min="14351" max="14351" width="11.28515625" style="1" customWidth="1"/>
    <col min="14352" max="14352" width="12.7109375" style="1" customWidth="1"/>
    <col min="14353" max="14353" width="11.5703125" style="1" customWidth="1"/>
    <col min="14354" max="14354" width="12.42578125" style="1" customWidth="1"/>
    <col min="14355" max="14355" width="1.5703125" style="1" customWidth="1"/>
    <col min="14356" max="14356" width="11.42578125" style="1" customWidth="1"/>
    <col min="14357" max="14357" width="12.140625" style="1" customWidth="1"/>
    <col min="14358" max="14358" width="1.7109375" style="1" customWidth="1"/>
    <col min="14359" max="14359" width="13.5703125" style="1" customWidth="1"/>
    <col min="14360" max="14596" width="9.140625" style="1"/>
    <col min="14597" max="14597" width="9.28515625" style="1" customWidth="1"/>
    <col min="14598" max="14598" width="1.7109375" style="1" customWidth="1"/>
    <col min="14599" max="14602" width="12" style="1" customWidth="1"/>
    <col min="14603" max="14603" width="11.85546875" style="1" customWidth="1"/>
    <col min="14604" max="14604" width="10.7109375" style="1" customWidth="1"/>
    <col min="14605" max="14605" width="10.5703125" style="1" customWidth="1"/>
    <col min="14606" max="14606" width="1.140625" style="1" customWidth="1"/>
    <col min="14607" max="14607" width="11.28515625" style="1" customWidth="1"/>
    <col min="14608" max="14608" width="12.7109375" style="1" customWidth="1"/>
    <col min="14609" max="14609" width="11.5703125" style="1" customWidth="1"/>
    <col min="14610" max="14610" width="12.42578125" style="1" customWidth="1"/>
    <col min="14611" max="14611" width="1.5703125" style="1" customWidth="1"/>
    <col min="14612" max="14612" width="11.42578125" style="1" customWidth="1"/>
    <col min="14613" max="14613" width="12.140625" style="1" customWidth="1"/>
    <col min="14614" max="14614" width="1.7109375" style="1" customWidth="1"/>
    <col min="14615" max="14615" width="13.5703125" style="1" customWidth="1"/>
    <col min="14616" max="14852" width="9.140625" style="1"/>
    <col min="14853" max="14853" width="9.28515625" style="1" customWidth="1"/>
    <col min="14854" max="14854" width="1.7109375" style="1" customWidth="1"/>
    <col min="14855" max="14858" width="12" style="1" customWidth="1"/>
    <col min="14859" max="14859" width="11.85546875" style="1" customWidth="1"/>
    <col min="14860" max="14860" width="10.7109375" style="1" customWidth="1"/>
    <col min="14861" max="14861" width="10.5703125" style="1" customWidth="1"/>
    <col min="14862" max="14862" width="1.140625" style="1" customWidth="1"/>
    <col min="14863" max="14863" width="11.28515625" style="1" customWidth="1"/>
    <col min="14864" max="14864" width="12.7109375" style="1" customWidth="1"/>
    <col min="14865" max="14865" width="11.5703125" style="1" customWidth="1"/>
    <col min="14866" max="14866" width="12.42578125" style="1" customWidth="1"/>
    <col min="14867" max="14867" width="1.5703125" style="1" customWidth="1"/>
    <col min="14868" max="14868" width="11.42578125" style="1" customWidth="1"/>
    <col min="14869" max="14869" width="12.140625" style="1" customWidth="1"/>
    <col min="14870" max="14870" width="1.7109375" style="1" customWidth="1"/>
    <col min="14871" max="14871" width="13.5703125" style="1" customWidth="1"/>
    <col min="14872" max="15108" width="9.140625" style="1"/>
    <col min="15109" max="15109" width="9.28515625" style="1" customWidth="1"/>
    <col min="15110" max="15110" width="1.7109375" style="1" customWidth="1"/>
    <col min="15111" max="15114" width="12" style="1" customWidth="1"/>
    <col min="15115" max="15115" width="11.85546875" style="1" customWidth="1"/>
    <col min="15116" max="15116" width="10.7109375" style="1" customWidth="1"/>
    <col min="15117" max="15117" width="10.5703125" style="1" customWidth="1"/>
    <col min="15118" max="15118" width="1.140625" style="1" customWidth="1"/>
    <col min="15119" max="15119" width="11.28515625" style="1" customWidth="1"/>
    <col min="15120" max="15120" width="12.7109375" style="1" customWidth="1"/>
    <col min="15121" max="15121" width="11.5703125" style="1" customWidth="1"/>
    <col min="15122" max="15122" width="12.42578125" style="1" customWidth="1"/>
    <col min="15123" max="15123" width="1.5703125" style="1" customWidth="1"/>
    <col min="15124" max="15124" width="11.42578125" style="1" customWidth="1"/>
    <col min="15125" max="15125" width="12.140625" style="1" customWidth="1"/>
    <col min="15126" max="15126" width="1.7109375" style="1" customWidth="1"/>
    <col min="15127" max="15127" width="13.5703125" style="1" customWidth="1"/>
    <col min="15128" max="15364" width="9.140625" style="1"/>
    <col min="15365" max="15365" width="9.28515625" style="1" customWidth="1"/>
    <col min="15366" max="15366" width="1.7109375" style="1" customWidth="1"/>
    <col min="15367" max="15370" width="12" style="1" customWidth="1"/>
    <col min="15371" max="15371" width="11.85546875" style="1" customWidth="1"/>
    <col min="15372" max="15372" width="10.7109375" style="1" customWidth="1"/>
    <col min="15373" max="15373" width="10.5703125" style="1" customWidth="1"/>
    <col min="15374" max="15374" width="1.140625" style="1" customWidth="1"/>
    <col min="15375" max="15375" width="11.28515625" style="1" customWidth="1"/>
    <col min="15376" max="15376" width="12.7109375" style="1" customWidth="1"/>
    <col min="15377" max="15377" width="11.5703125" style="1" customWidth="1"/>
    <col min="15378" max="15378" width="12.42578125" style="1" customWidth="1"/>
    <col min="15379" max="15379" width="1.5703125" style="1" customWidth="1"/>
    <col min="15380" max="15380" width="11.42578125" style="1" customWidth="1"/>
    <col min="15381" max="15381" width="12.140625" style="1" customWidth="1"/>
    <col min="15382" max="15382" width="1.7109375" style="1" customWidth="1"/>
    <col min="15383" max="15383" width="13.5703125" style="1" customWidth="1"/>
    <col min="15384" max="15620" width="9.140625" style="1"/>
    <col min="15621" max="15621" width="9.28515625" style="1" customWidth="1"/>
    <col min="15622" max="15622" width="1.7109375" style="1" customWidth="1"/>
    <col min="15623" max="15626" width="12" style="1" customWidth="1"/>
    <col min="15627" max="15627" width="11.85546875" style="1" customWidth="1"/>
    <col min="15628" max="15628" width="10.7109375" style="1" customWidth="1"/>
    <col min="15629" max="15629" width="10.5703125" style="1" customWidth="1"/>
    <col min="15630" max="15630" width="1.140625" style="1" customWidth="1"/>
    <col min="15631" max="15631" width="11.28515625" style="1" customWidth="1"/>
    <col min="15632" max="15632" width="12.7109375" style="1" customWidth="1"/>
    <col min="15633" max="15633" width="11.5703125" style="1" customWidth="1"/>
    <col min="15634" max="15634" width="12.42578125" style="1" customWidth="1"/>
    <col min="15635" max="15635" width="1.5703125" style="1" customWidth="1"/>
    <col min="15636" max="15636" width="11.42578125" style="1" customWidth="1"/>
    <col min="15637" max="15637" width="12.140625" style="1" customWidth="1"/>
    <col min="15638" max="15638" width="1.7109375" style="1" customWidth="1"/>
    <col min="15639" max="15639" width="13.5703125" style="1" customWidth="1"/>
    <col min="15640" max="15876" width="9.140625" style="1"/>
    <col min="15877" max="15877" width="9.28515625" style="1" customWidth="1"/>
    <col min="15878" max="15878" width="1.7109375" style="1" customWidth="1"/>
    <col min="15879" max="15882" width="12" style="1" customWidth="1"/>
    <col min="15883" max="15883" width="11.85546875" style="1" customWidth="1"/>
    <col min="15884" max="15884" width="10.7109375" style="1" customWidth="1"/>
    <col min="15885" max="15885" width="10.5703125" style="1" customWidth="1"/>
    <col min="15886" max="15886" width="1.140625" style="1" customWidth="1"/>
    <col min="15887" max="15887" width="11.28515625" style="1" customWidth="1"/>
    <col min="15888" max="15888" width="12.7109375" style="1" customWidth="1"/>
    <col min="15889" max="15889" width="11.5703125" style="1" customWidth="1"/>
    <col min="15890" max="15890" width="12.42578125" style="1" customWidth="1"/>
    <col min="15891" max="15891" width="1.5703125" style="1" customWidth="1"/>
    <col min="15892" max="15892" width="11.42578125" style="1" customWidth="1"/>
    <col min="15893" max="15893" width="12.140625" style="1" customWidth="1"/>
    <col min="15894" max="15894" width="1.7109375" style="1" customWidth="1"/>
    <col min="15895" max="15895" width="13.5703125" style="1" customWidth="1"/>
    <col min="15896" max="16132" width="9.140625" style="1"/>
    <col min="16133" max="16133" width="9.28515625" style="1" customWidth="1"/>
    <col min="16134" max="16134" width="1.7109375" style="1" customWidth="1"/>
    <col min="16135" max="16138" width="12" style="1" customWidth="1"/>
    <col min="16139" max="16139" width="11.85546875" style="1" customWidth="1"/>
    <col min="16140" max="16140" width="10.7109375" style="1" customWidth="1"/>
    <col min="16141" max="16141" width="10.5703125" style="1" customWidth="1"/>
    <col min="16142" max="16142" width="1.140625" style="1" customWidth="1"/>
    <col min="16143" max="16143" width="11.28515625" style="1" customWidth="1"/>
    <col min="16144" max="16144" width="12.7109375" style="1" customWidth="1"/>
    <col min="16145" max="16145" width="11.5703125" style="1" customWidth="1"/>
    <col min="16146" max="16146" width="12.42578125" style="1" customWidth="1"/>
    <col min="16147" max="16147" width="1.5703125" style="1" customWidth="1"/>
    <col min="16148" max="16148" width="11.42578125" style="1" customWidth="1"/>
    <col min="16149" max="16149" width="12.140625" style="1" customWidth="1"/>
    <col min="16150" max="16150" width="1.7109375" style="1" customWidth="1"/>
    <col min="16151" max="16151" width="13.5703125" style="1" customWidth="1"/>
    <col min="16152" max="16384" width="9.140625" style="1"/>
  </cols>
  <sheetData>
    <row r="1" spans="1:23" ht="18" x14ac:dyDescent="0.25">
      <c r="A1" s="86" t="s">
        <v>0</v>
      </c>
      <c r="B1" s="86"/>
      <c r="C1" s="86"/>
      <c r="D1" s="86"/>
      <c r="E1" s="86"/>
      <c r="F1" s="86"/>
      <c r="G1" s="86"/>
      <c r="H1" s="86"/>
      <c r="I1" s="86"/>
      <c r="J1" s="86"/>
      <c r="K1" s="86"/>
      <c r="L1" s="86"/>
      <c r="M1" s="86"/>
      <c r="N1" s="86"/>
      <c r="O1" s="86"/>
      <c r="P1" s="86"/>
      <c r="Q1" s="86"/>
      <c r="R1" s="86"/>
      <c r="S1" s="86"/>
      <c r="T1" s="86"/>
      <c r="U1" s="86"/>
      <c r="V1" s="86"/>
      <c r="W1" s="86"/>
    </row>
    <row r="2" spans="1:23" ht="15.75" x14ac:dyDescent="0.25">
      <c r="A2" s="87" t="s">
        <v>1</v>
      </c>
      <c r="B2" s="87"/>
      <c r="C2" s="87"/>
      <c r="D2" s="87"/>
      <c r="E2" s="87"/>
      <c r="F2" s="87"/>
      <c r="G2" s="87"/>
      <c r="H2" s="87"/>
      <c r="I2" s="87"/>
      <c r="J2" s="87"/>
      <c r="K2" s="87"/>
      <c r="L2" s="87"/>
      <c r="M2" s="87"/>
      <c r="N2" s="87"/>
      <c r="O2" s="87"/>
      <c r="P2" s="87"/>
      <c r="Q2" s="87"/>
      <c r="R2" s="87"/>
      <c r="S2" s="87"/>
      <c r="T2" s="87"/>
      <c r="U2" s="87"/>
      <c r="V2" s="87"/>
      <c r="W2" s="87"/>
    </row>
    <row r="3" spans="1:23" s="2" customFormat="1" ht="15.75" x14ac:dyDescent="0.25">
      <c r="A3" s="87" t="s">
        <v>2</v>
      </c>
      <c r="B3" s="87"/>
      <c r="C3" s="87"/>
      <c r="D3" s="87"/>
      <c r="E3" s="87"/>
      <c r="F3" s="87"/>
      <c r="G3" s="87"/>
      <c r="H3" s="87"/>
      <c r="I3" s="87"/>
      <c r="J3" s="87"/>
      <c r="K3" s="87"/>
      <c r="L3" s="87"/>
      <c r="M3" s="87"/>
      <c r="N3" s="87"/>
      <c r="O3" s="87"/>
      <c r="P3" s="87"/>
      <c r="Q3" s="87"/>
      <c r="R3" s="87"/>
      <c r="S3" s="87"/>
      <c r="T3" s="87"/>
      <c r="U3" s="87"/>
      <c r="V3" s="87"/>
      <c r="W3" s="87"/>
    </row>
    <row r="4" spans="1:23" s="2" customFormat="1" ht="14.25" customHeight="1" x14ac:dyDescent="0.25">
      <c r="A4" s="88" t="s">
        <v>3</v>
      </c>
      <c r="B4" s="88"/>
      <c r="C4" s="88"/>
      <c r="D4" s="88"/>
      <c r="E4" s="88"/>
      <c r="F4" s="88"/>
      <c r="G4" s="88"/>
      <c r="H4" s="88"/>
      <c r="I4" s="88"/>
      <c r="J4" s="88"/>
      <c r="K4" s="88"/>
      <c r="L4" s="88"/>
      <c r="M4" s="88"/>
      <c r="N4" s="88"/>
      <c r="O4" s="88"/>
      <c r="P4" s="88"/>
      <c r="Q4" s="88"/>
      <c r="R4" s="88"/>
      <c r="S4" s="88"/>
      <c r="T4" s="88"/>
      <c r="U4" s="88"/>
      <c r="V4" s="88"/>
      <c r="W4" s="88"/>
    </row>
    <row r="5" spans="1:23" s="2" customFormat="1" x14ac:dyDescent="0.25">
      <c r="A5" s="89" t="s">
        <v>4</v>
      </c>
      <c r="B5" s="89"/>
      <c r="C5" s="89"/>
      <c r="D5" s="89"/>
      <c r="E5" s="89"/>
      <c r="F5" s="89"/>
      <c r="G5" s="89"/>
      <c r="H5" s="89"/>
      <c r="I5" s="89"/>
      <c r="J5" s="89"/>
      <c r="K5" s="89"/>
      <c r="L5" s="89"/>
      <c r="M5" s="89"/>
      <c r="N5" s="89"/>
      <c r="O5" s="89"/>
      <c r="P5" s="89"/>
      <c r="Q5" s="89"/>
      <c r="R5" s="89"/>
      <c r="S5" s="89"/>
      <c r="T5" s="89"/>
      <c r="U5" s="89"/>
      <c r="V5" s="89"/>
      <c r="W5" s="89"/>
    </row>
    <row r="6" spans="1:23" s="2" customFormat="1" x14ac:dyDescent="0.25">
      <c r="A6" s="76"/>
      <c r="B6" s="76"/>
      <c r="C6" s="76"/>
      <c r="D6" s="76"/>
      <c r="E6" s="76"/>
      <c r="F6" s="76"/>
      <c r="G6" s="76"/>
      <c r="H6" s="76"/>
      <c r="I6" s="76"/>
      <c r="J6" s="76"/>
      <c r="K6" s="76"/>
      <c r="L6" s="76"/>
      <c r="M6" s="76"/>
      <c r="N6" s="76"/>
      <c r="O6" s="76"/>
      <c r="P6" s="76"/>
      <c r="Q6" s="76"/>
      <c r="R6" s="76"/>
      <c r="S6" s="76"/>
      <c r="T6" s="76"/>
      <c r="U6" s="76"/>
    </row>
    <row r="7" spans="1:23" s="2" customFormat="1" x14ac:dyDescent="0.25">
      <c r="A7" s="4"/>
      <c r="B7" s="4"/>
      <c r="C7" s="5"/>
      <c r="D7" s="5"/>
      <c r="E7" s="5"/>
      <c r="F7" s="5"/>
      <c r="G7" s="5"/>
      <c r="H7" s="6"/>
      <c r="I7" s="7"/>
      <c r="J7" s="6"/>
      <c r="K7" s="6"/>
      <c r="L7" s="6"/>
      <c r="M7" s="6"/>
      <c r="N7" s="6"/>
      <c r="O7" s="6"/>
      <c r="P7" s="6"/>
      <c r="Q7" s="6"/>
      <c r="R7" s="6"/>
      <c r="S7" s="6"/>
      <c r="T7" s="6"/>
      <c r="U7" s="6"/>
    </row>
    <row r="8" spans="1:23" s="8" customFormat="1" ht="14.25" customHeight="1" x14ac:dyDescent="0.25">
      <c r="A8" s="83" t="s">
        <v>82</v>
      </c>
      <c r="B8" s="84"/>
      <c r="C8" s="84"/>
      <c r="D8" s="84"/>
      <c r="E8" s="84"/>
      <c r="F8" s="84"/>
      <c r="G8" s="84"/>
      <c r="H8" s="84"/>
      <c r="I8" s="84"/>
      <c r="J8" s="84"/>
      <c r="K8" s="84"/>
      <c r="L8" s="84"/>
      <c r="M8" s="84"/>
      <c r="N8" s="84"/>
      <c r="O8" s="84"/>
      <c r="P8" s="84"/>
      <c r="Q8" s="84"/>
      <c r="R8" s="84"/>
      <c r="S8" s="84"/>
      <c r="T8" s="84"/>
      <c r="U8" s="84"/>
      <c r="V8" s="84"/>
      <c r="W8" s="85"/>
    </row>
    <row r="9" spans="1:23" s="2" customFormat="1" ht="9" customHeight="1" x14ac:dyDescent="0.25">
      <c r="A9" s="4"/>
      <c r="B9" s="4"/>
      <c r="C9" s="5"/>
      <c r="D9" s="5"/>
      <c r="E9" s="5"/>
      <c r="F9" s="5"/>
      <c r="G9" s="5"/>
      <c r="H9" s="6"/>
      <c r="I9" s="7"/>
      <c r="J9" s="6"/>
      <c r="K9" s="6"/>
      <c r="L9" s="6"/>
      <c r="M9" s="6"/>
      <c r="N9" s="6"/>
      <c r="O9" s="6"/>
      <c r="P9" s="6"/>
      <c r="Q9" s="6"/>
      <c r="R9" s="6"/>
      <c r="S9" s="6"/>
      <c r="T9" s="6"/>
      <c r="U9" s="6"/>
    </row>
    <row r="10" spans="1:23" s="13" customFormat="1" ht="12.75" x14ac:dyDescent="0.2">
      <c r="A10" s="9"/>
      <c r="B10" s="9"/>
      <c r="C10" s="91" t="s">
        <v>6</v>
      </c>
      <c r="D10" s="92"/>
      <c r="E10" s="92"/>
      <c r="F10" s="92"/>
      <c r="G10" s="92"/>
      <c r="H10" s="92"/>
      <c r="I10" s="92"/>
      <c r="J10" s="10"/>
      <c r="K10" s="11"/>
      <c r="L10" s="91" t="s">
        <v>7</v>
      </c>
      <c r="M10" s="92"/>
      <c r="N10" s="92"/>
      <c r="O10" s="93"/>
      <c r="P10" s="12"/>
      <c r="Q10" s="91" t="s">
        <v>8</v>
      </c>
      <c r="R10" s="93"/>
      <c r="S10" s="67"/>
      <c r="T10" s="91" t="s">
        <v>70</v>
      </c>
      <c r="U10" s="93"/>
    </row>
    <row r="11" spans="1:23" s="18" customFormat="1" ht="12" x14ac:dyDescent="0.2">
      <c r="A11" s="14"/>
      <c r="B11" s="14"/>
      <c r="C11" s="15"/>
      <c r="D11" s="16" t="s">
        <v>9</v>
      </c>
      <c r="E11" s="15"/>
      <c r="F11" s="16" t="s">
        <v>10</v>
      </c>
      <c r="G11" s="15"/>
      <c r="H11" s="17" t="s">
        <v>11</v>
      </c>
      <c r="I11" s="15"/>
      <c r="J11" s="15"/>
      <c r="K11" s="15"/>
      <c r="L11" s="16" t="s">
        <v>10</v>
      </c>
      <c r="M11" s="16"/>
      <c r="N11" s="16" t="s">
        <v>9</v>
      </c>
      <c r="O11" s="16" t="s">
        <v>10</v>
      </c>
      <c r="Q11" s="16" t="s">
        <v>10</v>
      </c>
      <c r="R11" s="16" t="s">
        <v>10</v>
      </c>
      <c r="S11" s="16"/>
      <c r="T11" s="16" t="s">
        <v>77</v>
      </c>
      <c r="U11" s="16" t="s">
        <v>77</v>
      </c>
      <c r="W11" s="16" t="s">
        <v>10</v>
      </c>
    </row>
    <row r="12" spans="1:23" s="21" customFormat="1" ht="12" x14ac:dyDescent="0.2">
      <c r="A12" s="19"/>
      <c r="B12" s="19"/>
      <c r="C12" s="16" t="s">
        <v>12</v>
      </c>
      <c r="D12" s="20" t="s">
        <v>13</v>
      </c>
      <c r="E12" s="16" t="s">
        <v>12</v>
      </c>
      <c r="F12" s="16" t="s">
        <v>14</v>
      </c>
      <c r="G12" s="16"/>
      <c r="H12" s="17" t="s">
        <v>15</v>
      </c>
      <c r="I12" s="16" t="s">
        <v>16</v>
      </c>
      <c r="J12" s="16"/>
      <c r="K12" s="16"/>
      <c r="L12" s="21" t="s">
        <v>11</v>
      </c>
      <c r="M12" s="16" t="s">
        <v>17</v>
      </c>
      <c r="N12" s="16" t="s">
        <v>17</v>
      </c>
      <c r="O12" s="16" t="s">
        <v>17</v>
      </c>
      <c r="Q12" s="21" t="s">
        <v>11</v>
      </c>
      <c r="R12" s="16" t="s">
        <v>18</v>
      </c>
      <c r="S12" s="16"/>
      <c r="T12" s="16" t="s">
        <v>78</v>
      </c>
      <c r="U12" s="16" t="s">
        <v>78</v>
      </c>
      <c r="W12" s="16" t="s">
        <v>10</v>
      </c>
    </row>
    <row r="13" spans="1:23" s="21" customFormat="1" ht="12" x14ac:dyDescent="0.2">
      <c r="A13" s="22" t="s">
        <v>19</v>
      </c>
      <c r="B13" s="22"/>
      <c r="C13" s="23" t="s">
        <v>20</v>
      </c>
      <c r="D13" s="23" t="s">
        <v>12</v>
      </c>
      <c r="E13" s="23" t="s">
        <v>21</v>
      </c>
      <c r="F13" s="23" t="s">
        <v>22</v>
      </c>
      <c r="G13" s="23"/>
      <c r="H13" s="24" t="s">
        <v>23</v>
      </c>
      <c r="I13" s="23" t="s">
        <v>24</v>
      </c>
      <c r="J13" s="20"/>
      <c r="K13" s="20"/>
      <c r="L13" s="23" t="s">
        <v>25</v>
      </c>
      <c r="M13" s="23" t="s">
        <v>26</v>
      </c>
      <c r="N13" s="23" t="s">
        <v>12</v>
      </c>
      <c r="O13" s="23" t="s">
        <v>22</v>
      </c>
      <c r="P13" s="25"/>
      <c r="Q13" s="23" t="s">
        <v>8</v>
      </c>
      <c r="R13" s="23" t="s">
        <v>22</v>
      </c>
      <c r="S13" s="20"/>
      <c r="T13" s="23" t="s">
        <v>79</v>
      </c>
      <c r="U13" s="23" t="s">
        <v>22</v>
      </c>
      <c r="W13" s="23" t="s">
        <v>27</v>
      </c>
    </row>
    <row r="14" spans="1:23" x14ac:dyDescent="0.25">
      <c r="A14" s="4">
        <v>45017</v>
      </c>
      <c r="C14" s="26">
        <v>111637583.66</v>
      </c>
      <c r="D14" s="26">
        <v>1395244.77</v>
      </c>
      <c r="E14" s="26">
        <v>102115379.03</v>
      </c>
      <c r="F14" s="26">
        <v>8126959.8600000003</v>
      </c>
      <c r="G14" s="26"/>
      <c r="H14" s="27">
        <v>893</v>
      </c>
      <c r="I14" s="26">
        <v>303.35796416573351</v>
      </c>
      <c r="J14" s="26"/>
      <c r="L14" s="27">
        <v>29</v>
      </c>
      <c r="M14" s="26">
        <v>5305275</v>
      </c>
      <c r="N14" s="26">
        <v>153905</v>
      </c>
      <c r="O14" s="26">
        <v>1133122.6499999999</v>
      </c>
      <c r="Q14" s="27">
        <v>6</v>
      </c>
      <c r="R14" s="26">
        <v>48854</v>
      </c>
      <c r="S14" s="26"/>
      <c r="T14" s="26">
        <v>380209</v>
      </c>
      <c r="U14" s="26">
        <v>-7972.75</v>
      </c>
      <c r="W14" s="26">
        <f t="shared" ref="W14:W25" si="0">F14+O14+R14+U14</f>
        <v>9300963.7599999998</v>
      </c>
    </row>
    <row r="15" spans="1:23" x14ac:dyDescent="0.25">
      <c r="A15" s="4">
        <v>45047</v>
      </c>
      <c r="C15" s="26">
        <v>103126288.15999998</v>
      </c>
      <c r="D15" s="26">
        <v>1267978.3500000001</v>
      </c>
      <c r="E15" s="26">
        <v>94251002.400000006</v>
      </c>
      <c r="F15" s="26">
        <v>7607307.4099999936</v>
      </c>
      <c r="G15" s="29"/>
      <c r="H15" s="27">
        <v>893</v>
      </c>
      <c r="I15" s="26">
        <v>274.80068670303052</v>
      </c>
      <c r="J15" s="26"/>
      <c r="K15" s="29"/>
      <c r="L15" s="27">
        <v>29</v>
      </c>
      <c r="M15" s="26">
        <v>4909975</v>
      </c>
      <c r="N15" s="26">
        <v>144295</v>
      </c>
      <c r="O15" s="26">
        <v>1021594.11</v>
      </c>
      <c r="P15" s="29"/>
      <c r="Q15" s="79">
        <v>6</v>
      </c>
      <c r="R15" s="26">
        <v>40073</v>
      </c>
      <c r="S15" s="26"/>
      <c r="T15" s="26">
        <v>469424.35</v>
      </c>
      <c r="U15" s="26">
        <v>14357.599999999999</v>
      </c>
      <c r="W15" s="26">
        <f t="shared" si="0"/>
        <v>8683332.1199999936</v>
      </c>
    </row>
    <row r="16" spans="1:23" x14ac:dyDescent="0.25">
      <c r="A16" s="4">
        <v>45078</v>
      </c>
      <c r="C16" s="26">
        <v>104943830.23</v>
      </c>
      <c r="D16" s="26">
        <v>1304389.9099999999</v>
      </c>
      <c r="E16" s="26">
        <v>95859609.120000005</v>
      </c>
      <c r="F16" s="26">
        <v>7779831.1999999974</v>
      </c>
      <c r="G16" s="29"/>
      <c r="H16" s="27">
        <v>893</v>
      </c>
      <c r="I16" s="26">
        <v>290.40056737588645</v>
      </c>
      <c r="J16" s="26"/>
      <c r="K16" s="29"/>
      <c r="L16" s="27">
        <v>29</v>
      </c>
      <c r="M16" s="26">
        <v>5276905</v>
      </c>
      <c r="N16" s="26">
        <v>147095</v>
      </c>
      <c r="O16" s="26">
        <v>1064411.4099999999</v>
      </c>
      <c r="P16" s="29"/>
      <c r="Q16" s="27">
        <v>6</v>
      </c>
      <c r="R16" s="26">
        <v>40327</v>
      </c>
      <c r="S16" s="26"/>
      <c r="T16" s="26">
        <v>402224</v>
      </c>
      <c r="U16" s="26">
        <v>5942.75</v>
      </c>
      <c r="W16" s="26">
        <f t="shared" si="0"/>
        <v>8890512.3599999975</v>
      </c>
    </row>
    <row r="17" spans="1:23" x14ac:dyDescent="0.25">
      <c r="A17" s="4">
        <v>45108</v>
      </c>
      <c r="C17" s="26">
        <v>112933836.93000001</v>
      </c>
      <c r="D17" s="26">
        <v>1423720.82</v>
      </c>
      <c r="E17" s="26">
        <v>103204656.03</v>
      </c>
      <c r="F17" s="26">
        <v>8305460.0800000001</v>
      </c>
      <c r="G17" s="30"/>
      <c r="H17" s="27">
        <v>893</v>
      </c>
      <c r="I17" s="26">
        <v>300.02023191128131</v>
      </c>
      <c r="J17" s="26"/>
      <c r="K17" s="30"/>
      <c r="L17" s="27">
        <v>29</v>
      </c>
      <c r="M17" s="26">
        <v>5690007</v>
      </c>
      <c r="N17" s="26">
        <v>154385</v>
      </c>
      <c r="O17" s="26">
        <v>1324880.46</v>
      </c>
      <c r="P17" s="30"/>
      <c r="Q17" s="27">
        <v>6</v>
      </c>
      <c r="R17" s="26">
        <v>46924</v>
      </c>
      <c r="S17" s="26"/>
      <c r="T17" s="26">
        <v>445723.5</v>
      </c>
      <c r="U17" s="26">
        <v>-113751.97</v>
      </c>
      <c r="V17" s="30"/>
      <c r="W17" s="26">
        <f t="shared" si="0"/>
        <v>9563512.5699999984</v>
      </c>
    </row>
    <row r="18" spans="1:23" x14ac:dyDescent="0.25">
      <c r="A18" s="4">
        <v>45139</v>
      </c>
      <c r="C18" s="26">
        <v>106883242.83000001</v>
      </c>
      <c r="D18" s="26">
        <v>1309772.04</v>
      </c>
      <c r="E18" s="26">
        <v>97836665.599999994</v>
      </c>
      <c r="F18" s="26">
        <v>7736805.1900000023</v>
      </c>
      <c r="G18" s="30"/>
      <c r="H18" s="27">
        <v>893</v>
      </c>
      <c r="I18" s="26">
        <v>279.47856771303697</v>
      </c>
      <c r="J18" s="26"/>
      <c r="K18" s="30"/>
      <c r="L18" s="27">
        <v>29</v>
      </c>
      <c r="M18" s="26">
        <v>5115113</v>
      </c>
      <c r="N18" s="26">
        <v>141965</v>
      </c>
      <c r="O18" s="26">
        <v>837167.59</v>
      </c>
      <c r="P18" s="30"/>
      <c r="Q18" s="27">
        <v>6</v>
      </c>
      <c r="R18" s="26">
        <v>41725</v>
      </c>
      <c r="S18" s="26"/>
      <c r="T18" s="26">
        <v>557066</v>
      </c>
      <c r="U18" s="26">
        <v>121328.25</v>
      </c>
      <c r="V18" s="30"/>
      <c r="W18" s="26">
        <f t="shared" si="0"/>
        <v>8737026.0300000031</v>
      </c>
    </row>
    <row r="19" spans="1:23" x14ac:dyDescent="0.25">
      <c r="A19" s="4">
        <v>45170</v>
      </c>
      <c r="C19" s="26">
        <v>105160426.22999999</v>
      </c>
      <c r="D19" s="26">
        <v>1313432.8700000001</v>
      </c>
      <c r="E19" s="26">
        <v>95891553.560000002</v>
      </c>
      <c r="F19" s="26">
        <v>7955439.799999997</v>
      </c>
      <c r="G19" s="30"/>
      <c r="H19" s="27">
        <v>893</v>
      </c>
      <c r="I19" s="80">
        <v>296.95557297499056</v>
      </c>
      <c r="J19" s="26"/>
      <c r="K19" s="30"/>
      <c r="L19" s="27">
        <v>29</v>
      </c>
      <c r="M19" s="26">
        <v>5315576</v>
      </c>
      <c r="N19" s="26">
        <v>146300</v>
      </c>
      <c r="O19" s="26">
        <v>1051893.4100000001</v>
      </c>
      <c r="P19" s="30"/>
      <c r="Q19" s="27">
        <v>6</v>
      </c>
      <c r="R19" s="26">
        <v>41540</v>
      </c>
      <c r="S19" s="26"/>
      <c r="T19" s="26">
        <v>761952.75</v>
      </c>
      <c r="U19" s="26">
        <v>145544.75</v>
      </c>
      <c r="V19" s="30"/>
      <c r="W19" s="26">
        <f t="shared" si="0"/>
        <v>9194417.9599999972</v>
      </c>
    </row>
    <row r="20" spans="1:23" x14ac:dyDescent="0.25">
      <c r="A20" s="4">
        <v>45200</v>
      </c>
      <c r="C20" s="26">
        <v>104384257.27</v>
      </c>
      <c r="D20" s="26">
        <v>1338119.1000000001</v>
      </c>
      <c r="E20" s="26">
        <v>95599834.489999995</v>
      </c>
      <c r="F20" s="26">
        <v>7446303.6799999997</v>
      </c>
      <c r="G20" s="30"/>
      <c r="H20" s="27">
        <v>893</v>
      </c>
      <c r="I20" s="80">
        <v>268.98470830473576</v>
      </c>
      <c r="J20" s="26"/>
      <c r="K20" s="30"/>
      <c r="L20" s="27">
        <v>29</v>
      </c>
      <c r="M20" s="26">
        <v>5026493</v>
      </c>
      <c r="N20" s="26">
        <v>150075</v>
      </c>
      <c r="O20" s="26">
        <v>1081969.56</v>
      </c>
      <c r="P20" s="30"/>
      <c r="Q20" s="27">
        <v>6</v>
      </c>
      <c r="R20" s="26">
        <v>38051</v>
      </c>
      <c r="S20" s="26"/>
      <c r="T20" s="26">
        <v>1911157.25</v>
      </c>
      <c r="U20" s="26">
        <v>198127.5</v>
      </c>
      <c r="V20" s="30"/>
      <c r="W20" s="26">
        <f>F20+O20+R20+U20</f>
        <v>8764451.7400000002</v>
      </c>
    </row>
    <row r="21" spans="1:23" x14ac:dyDescent="0.25">
      <c r="A21" s="4">
        <v>45231</v>
      </c>
      <c r="C21" s="26">
        <v>100292003.40000001</v>
      </c>
      <c r="D21" s="26">
        <v>1265159.3600000001</v>
      </c>
      <c r="E21" s="26">
        <v>91597002.709999993</v>
      </c>
      <c r="F21" s="26">
        <v>7429841.3300000019</v>
      </c>
      <c r="G21" s="30"/>
      <c r="H21" s="27">
        <v>893</v>
      </c>
      <c r="I21" s="80">
        <v>277.33636916759991</v>
      </c>
      <c r="J21" s="26"/>
      <c r="K21" s="30"/>
      <c r="L21" s="27">
        <v>29</v>
      </c>
      <c r="M21" s="26">
        <v>4994655</v>
      </c>
      <c r="N21" s="26">
        <v>143455</v>
      </c>
      <c r="O21" s="26">
        <v>1013864.3</v>
      </c>
      <c r="P21" s="30"/>
      <c r="Q21" s="27">
        <v>6</v>
      </c>
      <c r="R21" s="26">
        <v>41988</v>
      </c>
      <c r="S21" s="26"/>
      <c r="T21" s="26">
        <v>664571.75</v>
      </c>
      <c r="U21" s="26">
        <v>154759.5</v>
      </c>
      <c r="V21" s="30"/>
      <c r="W21" s="26">
        <f t="shared" si="0"/>
        <v>8640453.1300000027</v>
      </c>
    </row>
    <row r="22" spans="1:23" x14ac:dyDescent="0.25">
      <c r="A22" s="4">
        <v>45261</v>
      </c>
      <c r="C22" s="26">
        <v>102417489.27000001</v>
      </c>
      <c r="D22" s="26">
        <v>1256099.23</v>
      </c>
      <c r="E22" s="26">
        <v>93302303.379999995</v>
      </c>
      <c r="F22" s="26">
        <v>7859086.6599999992</v>
      </c>
      <c r="G22" s="30"/>
      <c r="H22" s="27">
        <v>893</v>
      </c>
      <c r="I22" s="26">
        <v>293.35896453900705</v>
      </c>
      <c r="J22" s="26"/>
      <c r="K22" s="30"/>
      <c r="L22" s="27">
        <v>29</v>
      </c>
      <c r="M22" s="26">
        <v>5517151</v>
      </c>
      <c r="N22" s="26">
        <v>163090</v>
      </c>
      <c r="O22" s="26">
        <v>946036.5</v>
      </c>
      <c r="P22" s="30"/>
      <c r="Q22" s="27">
        <v>5.806451612903226</v>
      </c>
      <c r="R22" s="26">
        <v>47843</v>
      </c>
      <c r="S22" s="26"/>
      <c r="T22" s="26">
        <v>443947.5</v>
      </c>
      <c r="U22" s="26">
        <v>13498</v>
      </c>
      <c r="V22" s="30"/>
      <c r="W22" s="26">
        <f t="shared" si="0"/>
        <v>8866464.1600000001</v>
      </c>
    </row>
    <row r="23" spans="1:23" x14ac:dyDescent="0.25">
      <c r="A23" s="4">
        <v>45292</v>
      </c>
      <c r="C23" s="26">
        <v>89961206.699999988</v>
      </c>
      <c r="D23" s="26">
        <v>1120307.92</v>
      </c>
      <c r="E23" s="26">
        <v>82151718.5</v>
      </c>
      <c r="F23" s="26">
        <v>6689180.2800000003</v>
      </c>
      <c r="G23" s="30"/>
      <c r="H23" s="27">
        <v>893</v>
      </c>
      <c r="I23" s="26">
        <v>241.63494852436514</v>
      </c>
      <c r="J23" s="26"/>
      <c r="K23" s="30"/>
      <c r="L23" s="27">
        <v>29</v>
      </c>
      <c r="M23" s="26">
        <v>4991008</v>
      </c>
      <c r="N23" s="26">
        <v>141825</v>
      </c>
      <c r="O23" s="26">
        <v>608368.25</v>
      </c>
      <c r="P23" s="30"/>
      <c r="Q23" s="27">
        <v>6</v>
      </c>
      <c r="R23" s="26">
        <v>38864</v>
      </c>
      <c r="S23" s="26"/>
      <c r="T23" s="26">
        <v>699656.5</v>
      </c>
      <c r="U23" s="26">
        <v>-111453.5</v>
      </c>
      <c r="V23" s="30"/>
      <c r="W23" s="26">
        <f t="shared" si="0"/>
        <v>7224959.0300000003</v>
      </c>
    </row>
    <row r="24" spans="1:23" x14ac:dyDescent="0.25">
      <c r="A24" s="4">
        <v>45323</v>
      </c>
      <c r="C24" s="26">
        <v>106470061.39999999</v>
      </c>
      <c r="D24" s="26">
        <v>1334121.52</v>
      </c>
      <c r="E24" s="26">
        <v>97110821.790000007</v>
      </c>
      <c r="F24" s="26">
        <v>8025118.0899999971</v>
      </c>
      <c r="G24" s="30"/>
      <c r="H24" s="27">
        <v>893</v>
      </c>
      <c r="I24" s="26">
        <v>309.88601343784984</v>
      </c>
      <c r="J24" s="26"/>
      <c r="K24" s="30"/>
      <c r="L24" s="27">
        <v>29</v>
      </c>
      <c r="M24" s="26">
        <v>5640213</v>
      </c>
      <c r="N24" s="26">
        <v>149995</v>
      </c>
      <c r="O24" s="26">
        <v>1284543.1000000001</v>
      </c>
      <c r="P24" s="30"/>
      <c r="Q24" s="27">
        <v>6</v>
      </c>
      <c r="R24" s="26">
        <v>43533</v>
      </c>
      <c r="S24" s="26"/>
      <c r="T24" s="26">
        <v>406911.5</v>
      </c>
      <c r="U24" s="26">
        <v>-62704.75</v>
      </c>
      <c r="V24" s="30"/>
      <c r="W24" s="26">
        <f t="shared" si="0"/>
        <v>9290489.4399999976</v>
      </c>
    </row>
    <row r="25" spans="1:23" x14ac:dyDescent="0.25">
      <c r="A25" s="4">
        <v>45352</v>
      </c>
      <c r="C25" s="26">
        <v>117572624.58</v>
      </c>
      <c r="D25" s="26">
        <v>1406667.11</v>
      </c>
      <c r="E25" s="26">
        <v>107365081.59999999</v>
      </c>
      <c r="F25" s="26">
        <v>8800875.8699999973</v>
      </c>
      <c r="G25" s="30"/>
      <c r="H25" s="27">
        <v>893</v>
      </c>
      <c r="I25" s="26">
        <v>317.91626160459481</v>
      </c>
      <c r="J25" s="26"/>
      <c r="K25" s="30"/>
      <c r="L25" s="27">
        <v>29</v>
      </c>
      <c r="M25" s="26">
        <v>5734367</v>
      </c>
      <c r="N25" s="26">
        <v>163855</v>
      </c>
      <c r="O25" s="26">
        <v>984826.5</v>
      </c>
      <c r="P25" s="30"/>
      <c r="Q25" s="27">
        <v>6</v>
      </c>
      <c r="R25" s="26">
        <v>50516</v>
      </c>
      <c r="S25" s="26"/>
      <c r="T25" s="26">
        <v>593171.75</v>
      </c>
      <c r="U25" s="26">
        <v>225533.25</v>
      </c>
      <c r="V25" s="30"/>
      <c r="W25" s="26">
        <f t="shared" si="0"/>
        <v>10061751.619999997</v>
      </c>
    </row>
    <row r="26" spans="1:23" ht="15.75" thickBot="1" x14ac:dyDescent="0.3">
      <c r="A26" s="4" t="s">
        <v>28</v>
      </c>
      <c r="C26" s="31">
        <f>SUM(C14:C25)</f>
        <v>1265782850.6600001</v>
      </c>
      <c r="D26" s="31">
        <f t="shared" ref="D26:F26" si="1">SUM(D14:D25)</f>
        <v>15735013</v>
      </c>
      <c r="E26" s="31">
        <f t="shared" si="1"/>
        <v>1156285628.21</v>
      </c>
      <c r="F26" s="31">
        <f t="shared" si="1"/>
        <v>93762209.449999988</v>
      </c>
      <c r="G26" s="31"/>
      <c r="H26" s="35">
        <v>893</v>
      </c>
      <c r="I26" s="78">
        <f>F26/H26/365</f>
        <v>287.66267146297685</v>
      </c>
      <c r="J26" s="33"/>
      <c r="K26" s="34"/>
      <c r="L26" s="35">
        <v>29</v>
      </c>
      <c r="M26" s="31">
        <f>SUM(M14:M25)</f>
        <v>63516738</v>
      </c>
      <c r="N26" s="31">
        <f>SUM(N14:N25)</f>
        <v>1800240</v>
      </c>
      <c r="O26" s="31">
        <f>SUM(O14:O25)</f>
        <v>12352677.84</v>
      </c>
      <c r="P26" s="33"/>
      <c r="Q26" s="32">
        <v>6</v>
      </c>
      <c r="R26" s="31">
        <f>SUM(R14:R25)</f>
        <v>520238</v>
      </c>
      <c r="S26" s="33"/>
      <c r="T26" s="31">
        <f>SUM(T14:T25)</f>
        <v>7736015.8499999996</v>
      </c>
      <c r="U26" s="31">
        <f>SUM(U14:U25)</f>
        <v>583208.63</v>
      </c>
      <c r="V26" s="33"/>
      <c r="W26" s="31">
        <f>SUM(W14:W25)</f>
        <v>107218333.91999999</v>
      </c>
    </row>
    <row r="27" spans="1:23" ht="10.5" customHeight="1" thickTop="1" x14ac:dyDescent="0.25">
      <c r="C27" s="36"/>
      <c r="D27" s="36"/>
      <c r="E27" s="36"/>
      <c r="F27" s="36"/>
      <c r="G27" s="36"/>
      <c r="H27" s="36"/>
      <c r="L27" s="38"/>
      <c r="M27" s="36"/>
      <c r="N27" s="36"/>
      <c r="O27" s="36"/>
      <c r="P27" s="36"/>
      <c r="Q27" s="38"/>
      <c r="R27" s="36"/>
      <c r="S27" s="36"/>
      <c r="T27" s="36"/>
      <c r="U27" s="36"/>
    </row>
    <row r="28" spans="1:23" s="42" customFormat="1" x14ac:dyDescent="0.25">
      <c r="A28" s="39"/>
      <c r="B28" s="39"/>
      <c r="C28" s="40"/>
      <c r="D28" s="41">
        <f>D26/$C$26</f>
        <v>1.2431052444576497E-2</v>
      </c>
      <c r="E28" s="41">
        <f>E26/$C$26</f>
        <v>0.91349446518973898</v>
      </c>
      <c r="F28" s="41">
        <f>F26/$C$26</f>
        <v>7.4074482365684466E-2</v>
      </c>
      <c r="G28" s="41"/>
      <c r="H28" s="40"/>
      <c r="L28" s="40"/>
      <c r="M28" s="40"/>
      <c r="N28" s="40"/>
      <c r="O28" s="40"/>
      <c r="P28" s="40"/>
      <c r="Q28" s="40"/>
      <c r="R28" s="40"/>
      <c r="S28" s="40"/>
      <c r="T28" s="40"/>
      <c r="U28" s="40"/>
    </row>
    <row r="29" spans="1:23" s="42" customFormat="1" x14ac:dyDescent="0.25">
      <c r="A29" s="39"/>
      <c r="B29" s="39"/>
      <c r="C29" s="40"/>
      <c r="D29" s="40"/>
      <c r="E29" s="40"/>
      <c r="F29" s="40"/>
      <c r="G29" s="40"/>
      <c r="H29" s="40"/>
      <c r="L29" s="40"/>
      <c r="M29" s="40"/>
      <c r="N29" s="40"/>
      <c r="O29" s="40"/>
      <c r="P29" s="40"/>
      <c r="Q29" s="40"/>
      <c r="R29" s="40"/>
      <c r="S29" s="40"/>
      <c r="T29" s="40"/>
      <c r="U29" s="40"/>
    </row>
    <row r="30" spans="1:23" s="42" customFormat="1" x14ac:dyDescent="0.25">
      <c r="A30" s="83" t="s">
        <v>29</v>
      </c>
      <c r="B30" s="84"/>
      <c r="C30" s="84"/>
      <c r="D30" s="84"/>
      <c r="E30" s="84"/>
      <c r="F30" s="84"/>
      <c r="G30" s="84"/>
      <c r="H30" s="84"/>
      <c r="I30" s="84"/>
      <c r="J30" s="84"/>
      <c r="K30" s="84"/>
      <c r="L30" s="84"/>
      <c r="M30" s="84"/>
      <c r="N30" s="84"/>
      <c r="O30" s="84"/>
      <c r="P30" s="84"/>
      <c r="Q30" s="84"/>
      <c r="R30" s="84"/>
      <c r="S30" s="84"/>
      <c r="T30" s="84"/>
      <c r="U30" s="84"/>
      <c r="V30" s="84"/>
      <c r="W30" s="85"/>
    </row>
    <row r="31" spans="1:23" s="44" customFormat="1" x14ac:dyDescent="0.25">
      <c r="A31" s="43"/>
      <c r="B31" s="43"/>
      <c r="C31" s="43"/>
      <c r="D31" s="43"/>
      <c r="E31" s="43"/>
      <c r="F31" s="43"/>
      <c r="G31" s="43"/>
      <c r="H31" s="43"/>
      <c r="I31" s="43"/>
      <c r="J31" s="43"/>
      <c r="K31" s="43"/>
      <c r="L31" s="43"/>
      <c r="M31" s="43"/>
      <c r="N31" s="43"/>
      <c r="O31" s="43"/>
      <c r="P31" s="43"/>
      <c r="Q31" s="43"/>
      <c r="R31" s="43"/>
      <c r="S31" s="43"/>
      <c r="T31" s="43"/>
      <c r="U31" s="43"/>
    </row>
    <row r="32" spans="1:23" s="44" customFormat="1" x14ac:dyDescent="0.25">
      <c r="A32" s="43"/>
      <c r="B32" s="43"/>
      <c r="C32" s="43"/>
      <c r="D32" s="43"/>
      <c r="E32" s="43"/>
      <c r="F32" s="43"/>
      <c r="G32" s="43"/>
      <c r="H32" s="94" t="s">
        <v>30</v>
      </c>
      <c r="I32" s="95"/>
      <c r="J32" s="95"/>
      <c r="K32" s="95"/>
      <c r="L32" s="95"/>
      <c r="M32" s="95"/>
      <c r="N32" s="95"/>
      <c r="O32" s="95"/>
      <c r="P32" s="95"/>
      <c r="Q32" s="96"/>
      <c r="R32" s="45"/>
      <c r="S32" s="45"/>
      <c r="T32" s="45"/>
      <c r="U32" s="45"/>
    </row>
    <row r="33" spans="1:23" s="46" customFormat="1" ht="12" x14ac:dyDescent="0.2">
      <c r="H33" s="16" t="s">
        <v>31</v>
      </c>
      <c r="I33" s="16" t="s">
        <v>32</v>
      </c>
      <c r="J33" s="16" t="s">
        <v>33</v>
      </c>
      <c r="M33" s="47"/>
      <c r="N33" s="47"/>
      <c r="O33" s="47"/>
      <c r="P33" s="47"/>
      <c r="Q33" s="47"/>
      <c r="R33" s="47"/>
      <c r="S33" s="47"/>
      <c r="T33" s="47"/>
      <c r="U33" s="47"/>
    </row>
    <row r="34" spans="1:23" s="46" customFormat="1" ht="12.75" customHeight="1" x14ac:dyDescent="0.2">
      <c r="C34" s="16" t="s">
        <v>34</v>
      </c>
      <c r="D34" s="46" t="s">
        <v>10</v>
      </c>
      <c r="E34" s="46" t="s">
        <v>35</v>
      </c>
      <c r="F34" s="46" t="s">
        <v>36</v>
      </c>
      <c r="H34" s="16" t="s">
        <v>37</v>
      </c>
      <c r="I34" s="16" t="s">
        <v>38</v>
      </c>
      <c r="J34" s="16" t="s">
        <v>39</v>
      </c>
      <c r="L34" s="90" t="s">
        <v>40</v>
      </c>
      <c r="M34" s="90"/>
      <c r="N34" s="90"/>
      <c r="O34" s="90"/>
      <c r="P34" s="90"/>
      <c r="Q34" s="90"/>
      <c r="R34" s="48"/>
      <c r="S34" s="48"/>
      <c r="T34" s="48"/>
      <c r="U34" s="48"/>
    </row>
    <row r="35" spans="1:23" s="46" customFormat="1" ht="12" x14ac:dyDescent="0.2">
      <c r="C35" s="23" t="s">
        <v>41</v>
      </c>
      <c r="D35" s="77" t="s">
        <v>42</v>
      </c>
      <c r="E35" s="77" t="s">
        <v>43</v>
      </c>
      <c r="F35" s="77" t="s">
        <v>44</v>
      </c>
      <c r="G35" s="47"/>
      <c r="H35" s="23" t="s">
        <v>45</v>
      </c>
      <c r="I35" s="23" t="s">
        <v>46</v>
      </c>
      <c r="J35" s="23" t="s">
        <v>47</v>
      </c>
      <c r="K35" s="77"/>
      <c r="L35" s="77" t="s">
        <v>48</v>
      </c>
      <c r="M35" s="77" t="s">
        <v>49</v>
      </c>
      <c r="N35" s="77" t="s">
        <v>50</v>
      </c>
      <c r="O35" s="77" t="s">
        <v>51</v>
      </c>
      <c r="P35" s="50"/>
      <c r="Q35" s="77" t="s">
        <v>52</v>
      </c>
    </row>
    <row r="36" spans="1:23" s="42" customFormat="1" x14ac:dyDescent="0.25">
      <c r="A36" s="4">
        <v>45017</v>
      </c>
      <c r="B36" s="39"/>
      <c r="C36" s="36">
        <f>(F14*0.7)+(O14+R14+U14)*0.9</f>
        <v>6745475.4119999995</v>
      </c>
      <c r="D36" s="36">
        <f>(F14*0.3)+(O14+R14+U14)*0.1</f>
        <v>2555488.3480000002</v>
      </c>
      <c r="E36" s="26">
        <v>7202.79</v>
      </c>
      <c r="F36" s="26">
        <v>0</v>
      </c>
      <c r="H36" s="36">
        <f>F14*0.3*0.8+(O14+R14+U14)*0.1*0.8+((E36+F36)*0.8)</f>
        <v>2050152.9104000002</v>
      </c>
      <c r="I36" s="36">
        <f>F14*0.3*0.05+(O14+R14+U14)*0.1*0.05+((E36+F36)*0.05)</f>
        <v>128134.55690000001</v>
      </c>
      <c r="J36" s="36">
        <f>F14*0.3*0.05+(O14+R14+U14)*0.1*0.05+((E36+F36)*0.05)</f>
        <v>128134.55690000001</v>
      </c>
      <c r="L36" s="36">
        <f>(F14*0.3*0.1+(O14+R14+U14)*0.1*0.1)*198683/372282+((E36+F36)*0.1*198683/372282)</f>
        <v>136768.1390374109</v>
      </c>
      <c r="M36" s="36">
        <f>(F14*0.3*0.1+(O14+R14+U14)*0.1*0.1)*38867/372282+((E36+F36)*0.1*38867/372282)</f>
        <v>26755.01809398413</v>
      </c>
      <c r="N36" s="36">
        <f>(F14*0.3*0.1+(O14+R14+U14)*0.1*0.1)*9808/372282+((E36+F36)*0.1*9808/372282)</f>
        <v>6751.5686177424641</v>
      </c>
      <c r="O36" s="36">
        <f>(F14*0.3*0.1+(O14+R14+U14)*0.1*0.1)*105740/372282+((E36+F36)*0.1*105740/372282)</f>
        <v>72788.628225947003</v>
      </c>
      <c r="Q36" s="36">
        <f>(F14*0.3*0.1+(O14+R14+U14)*0.1*0.1)*19184/372282+((E36+F36)*0.1*19184/372282)</f>
        <v>13205.759824915522</v>
      </c>
    </row>
    <row r="37" spans="1:23" s="42" customFormat="1" x14ac:dyDescent="0.25">
      <c r="A37" s="4">
        <v>45047</v>
      </c>
      <c r="B37" s="39"/>
      <c r="C37" s="36">
        <f>(F15*0.7)+(O15+R15+U15)*0.9</f>
        <v>6293537.4259999953</v>
      </c>
      <c r="D37" s="36">
        <f>(F15*0.3)+(O15+R15+U15)*0.1</f>
        <v>2389794.6939999978</v>
      </c>
      <c r="E37" s="26">
        <v>7981.65</v>
      </c>
      <c r="F37" s="26">
        <v>0</v>
      </c>
      <c r="H37" s="36">
        <f>F15*0.3*0.8+(O15+R15+U15)*0.1*0.8+((E37+F37)*0.8)</f>
        <v>1918221.0751999984</v>
      </c>
      <c r="I37" s="36">
        <f>F15*0.3*0.05+(O15+R15+U15)*0.1*0.05+((E37+F37)*0.05)</f>
        <v>119888.8171999999</v>
      </c>
      <c r="J37" s="36">
        <f>F15*0.3*0.05+(O15+R15+U15)*0.1*0.05+((E37+F37)*0.05)</f>
        <v>119888.8171999999</v>
      </c>
      <c r="L37" s="36">
        <f>(F15*0.3*0.1+(O15+R15+U15)*0.1*0.1)*198683/372282+((E37+F37)*0.1*198683/372282)</f>
        <v>127966.80939582134</v>
      </c>
      <c r="M37" s="36">
        <f>(F15*0.3*0.1+(O15+R15+U15)*0.1*0.1)*38867/372282+((E37+F37)*0.1*38867/372282)</f>
        <v>25033.274013314614</v>
      </c>
      <c r="N37" s="36">
        <f>(F15*0.3*0.1+(O15+R15+U15)*0.1*0.1)*9808/372282+((E37+F37)*0.1*9808/372282)</f>
        <v>6317.0903728764697</v>
      </c>
      <c r="O37" s="36">
        <f>(F15*0.3*0.1+(O15+R15+U15)*0.1*0.1)*105740/372282+((E37+F37)*0.1*105740/372282)</f>
        <v>68104.520394367661</v>
      </c>
      <c r="Q37" s="36">
        <f>(F15*0.3*0.1+(O15+R15+U15)*0.1*0.1)*19184/372282+((E37+F37)*0.1*19184/372282)</f>
        <v>12355.940223619717</v>
      </c>
      <c r="V37" s="28"/>
      <c r="W37" s="28"/>
    </row>
    <row r="38" spans="1:23" s="42" customFormat="1" x14ac:dyDescent="0.25">
      <c r="A38" s="4">
        <v>45078</v>
      </c>
      <c r="B38" s="39"/>
      <c r="C38" s="36">
        <f t="shared" ref="C38:C47" si="2">(F16*0.7)+(O16+R16+U16)*0.9</f>
        <v>6445494.8839999977</v>
      </c>
      <c r="D38" s="36">
        <f t="shared" ref="D38:D47" si="3">(F16*0.3)+(O16+R16+U16)*0.1</f>
        <v>2445017.4759999989</v>
      </c>
      <c r="E38" s="26">
        <v>7108.8399999999992</v>
      </c>
      <c r="F38" s="26">
        <v>-7584.07</v>
      </c>
      <c r="H38" s="36">
        <f t="shared" ref="H38:H47" si="4">F16*0.3*0.8+(O16+R16+U16)*0.1*0.8+((E38+F38)*0.8)</f>
        <v>1955633.7967999992</v>
      </c>
      <c r="I38" s="36">
        <f t="shared" ref="I38:I47" si="5">F16*0.3*0.05+(O16+R16+U16)*0.1*0.05+((E38+F38)*0.05)</f>
        <v>122227.11229999995</v>
      </c>
      <c r="J38" s="36">
        <f t="shared" ref="J38:J47" si="6">F16*0.3*0.05+(O16+R16+U16)*0.1*0.05+((E38+F38)*0.05)</f>
        <v>122227.11229999995</v>
      </c>
      <c r="L38" s="36">
        <f t="shared" ref="L38:L47" si="7">(F16*0.3*0.1+(O16+R16+U16)*0.1*0.1)*198683/372282+((E38+F38)*0.1*198683/372282)</f>
        <v>130462.65655122131</v>
      </c>
      <c r="M38" s="36">
        <f t="shared" ref="M38:M47" si="8">(F16*0.3*0.1+(O16+R16+U16)*0.1*0.1)*38867/372282+((E38+F38)*0.1*38867/372282)</f>
        <v>25521.519567231822</v>
      </c>
      <c r="N38" s="36">
        <f t="shared" ref="N38:N47" si="9">(F16*0.3*0.1+(O16+R16+U16)*0.1*0.1)*9808/372282+((E38+F38)*0.1*9808/372282)</f>
        <v>6440.2980398644004</v>
      </c>
      <c r="O38" s="36">
        <f t="shared" ref="O38:O47" si="10">(F16*0.3*0.1+(O16+R16+U16)*0.1*0.1)*105740/372282+((E38+F38)*0.1*105740/372282)</f>
        <v>69432.821649190635</v>
      </c>
      <c r="Q38" s="36">
        <f t="shared" ref="Q38:Q47" si="11">(F16*0.3*0.1+(O16+R16+U16)*0.1*0.1)*19184/372282+((E38+F38)*0.1*19184/372282)</f>
        <v>12596.928792491708</v>
      </c>
      <c r="V38" s="28"/>
      <c r="W38" s="28"/>
    </row>
    <row r="39" spans="1:23" s="42" customFormat="1" x14ac:dyDescent="0.25">
      <c r="A39" s="4">
        <v>45108</v>
      </c>
      <c r="B39" s="39"/>
      <c r="C39" s="36">
        <f t="shared" si="2"/>
        <v>6946069.2970000003</v>
      </c>
      <c r="D39" s="36">
        <f t="shared" si="3"/>
        <v>2617443.2729999996</v>
      </c>
      <c r="E39" s="26">
        <v>6734.4800000000005</v>
      </c>
      <c r="F39" s="26">
        <v>1000</v>
      </c>
      <c r="H39" s="36">
        <f t="shared" si="4"/>
        <v>2100142.2023999998</v>
      </c>
      <c r="I39" s="36">
        <f t="shared" si="5"/>
        <v>131258.88764999999</v>
      </c>
      <c r="J39" s="36">
        <f t="shared" si="6"/>
        <v>131258.88764999999</v>
      </c>
      <c r="L39" s="36">
        <f t="shared" si="7"/>
        <v>140102.98416235513</v>
      </c>
      <c r="M39" s="36">
        <f t="shared" si="8"/>
        <v>27407.39109756878</v>
      </c>
      <c r="N39" s="36">
        <f t="shared" si="9"/>
        <v>6916.1934773703797</v>
      </c>
      <c r="O39" s="36">
        <f t="shared" si="10"/>
        <v>74563.448031927386</v>
      </c>
      <c r="Q39" s="36">
        <f t="shared" si="11"/>
        <v>13527.758530778281</v>
      </c>
      <c r="V39" s="28"/>
      <c r="W39" s="28"/>
    </row>
    <row r="40" spans="1:23" s="42" customFormat="1" x14ac:dyDescent="0.25">
      <c r="A40" s="4">
        <v>45139</v>
      </c>
      <c r="B40" s="39"/>
      <c r="C40" s="36">
        <f t="shared" si="2"/>
        <v>6315962.3890000014</v>
      </c>
      <c r="D40" s="36">
        <f t="shared" si="3"/>
        <v>2421063.6410000003</v>
      </c>
      <c r="E40" s="26">
        <v>6551.48</v>
      </c>
      <c r="F40" s="26">
        <v>0</v>
      </c>
      <c r="H40" s="36">
        <f t="shared" si="4"/>
        <v>1942092.0968000004</v>
      </c>
      <c r="I40" s="36">
        <f t="shared" si="5"/>
        <v>121380.75605000003</v>
      </c>
      <c r="J40" s="36">
        <f t="shared" si="6"/>
        <v>121380.75605000003</v>
      </c>
      <c r="L40" s="36">
        <f t="shared" si="7"/>
        <v>129559.27363816762</v>
      </c>
      <c r="M40" s="36">
        <f t="shared" si="8"/>
        <v>25344.796930259057</v>
      </c>
      <c r="N40" s="36">
        <f t="shared" si="9"/>
        <v>6395.702480046848</v>
      </c>
      <c r="O40" s="36">
        <f t="shared" si="10"/>
        <v>68952.037137046675</v>
      </c>
      <c r="Q40" s="36">
        <f t="shared" si="11"/>
        <v>12509.701914479887</v>
      </c>
      <c r="V40" s="28"/>
      <c r="W40" s="28"/>
    </row>
    <row r="41" spans="1:23" s="42" customFormat="1" x14ac:dyDescent="0.25">
      <c r="A41" s="4">
        <v>45170</v>
      </c>
      <c r="B41" s="39"/>
      <c r="C41" s="36">
        <f t="shared" si="2"/>
        <v>6683888.203999998</v>
      </c>
      <c r="D41" s="36">
        <f t="shared" si="3"/>
        <v>2510529.7559999991</v>
      </c>
      <c r="E41" s="26">
        <v>9374.18</v>
      </c>
      <c r="F41" s="26">
        <v>-174.06</v>
      </c>
      <c r="G41" s="30"/>
      <c r="H41" s="36">
        <f t="shared" si="4"/>
        <v>2015783.900799999</v>
      </c>
      <c r="I41" s="36">
        <f t="shared" si="5"/>
        <v>125986.49379999994</v>
      </c>
      <c r="J41" s="36">
        <f t="shared" si="6"/>
        <v>125986.49379999994</v>
      </c>
      <c r="L41" s="36">
        <f t="shared" si="7"/>
        <v>134475.34152962212</v>
      </c>
      <c r="M41" s="36">
        <f t="shared" si="8"/>
        <v>26306.493757552595</v>
      </c>
      <c r="N41" s="36">
        <f t="shared" si="9"/>
        <v>6638.3845106150684</v>
      </c>
      <c r="O41" s="36">
        <f t="shared" si="10"/>
        <v>71568.390920925507</v>
      </c>
      <c r="Q41" s="36">
        <f t="shared" si="11"/>
        <v>12984.37688128461</v>
      </c>
      <c r="V41" s="28"/>
      <c r="W41" s="28"/>
    </row>
    <row r="42" spans="1:23" s="42" customFormat="1" x14ac:dyDescent="0.25">
      <c r="A42" s="4">
        <v>45200</v>
      </c>
      <c r="B42" s="39"/>
      <c r="C42" s="36">
        <f t="shared" si="2"/>
        <v>6398745.8300000001</v>
      </c>
      <c r="D42" s="36">
        <f t="shared" si="3"/>
        <v>2365705.9099999997</v>
      </c>
      <c r="E42" s="26">
        <v>10151.17</v>
      </c>
      <c r="F42" s="26">
        <v>7500</v>
      </c>
      <c r="G42" s="30"/>
      <c r="H42" s="36">
        <f t="shared" si="4"/>
        <v>1906685.6640000001</v>
      </c>
      <c r="I42" s="36">
        <f t="shared" si="5"/>
        <v>119167.85400000001</v>
      </c>
      <c r="J42" s="36">
        <f t="shared" si="6"/>
        <v>119167.85400000001</v>
      </c>
      <c r="L42" s="36">
        <f t="shared" si="7"/>
        <v>127197.26839482972</v>
      </c>
      <c r="M42" s="36">
        <f t="shared" si="8"/>
        <v>24882.733956613538</v>
      </c>
      <c r="N42" s="36">
        <f t="shared" si="9"/>
        <v>6279.1019282801763</v>
      </c>
      <c r="O42" s="36">
        <f t="shared" si="10"/>
        <v>67694.967159089079</v>
      </c>
      <c r="Q42" s="36">
        <f t="shared" si="11"/>
        <v>12281.636561187488</v>
      </c>
      <c r="V42" s="28"/>
      <c r="W42" s="28"/>
    </row>
    <row r="43" spans="1:23" s="42" customFormat="1" x14ac:dyDescent="0.25">
      <c r="A43" s="4">
        <v>45231</v>
      </c>
      <c r="B43" s="39"/>
      <c r="C43" s="36">
        <f t="shared" si="2"/>
        <v>6290439.5510000009</v>
      </c>
      <c r="D43" s="36">
        <f t="shared" si="3"/>
        <v>2350013.5790000008</v>
      </c>
      <c r="E43" s="26">
        <v>10362.460000000001</v>
      </c>
      <c r="F43" s="26">
        <v>5000</v>
      </c>
      <c r="G43" s="30"/>
      <c r="H43" s="36">
        <f t="shared" si="4"/>
        <v>1892300.8312000006</v>
      </c>
      <c r="I43" s="36">
        <f t="shared" si="5"/>
        <v>118268.80195000004</v>
      </c>
      <c r="J43" s="36">
        <f t="shared" si="6"/>
        <v>118268.80195000004</v>
      </c>
      <c r="L43" s="36">
        <f t="shared" si="7"/>
        <v>126237.63908989345</v>
      </c>
      <c r="M43" s="36">
        <f t="shared" si="8"/>
        <v>24695.008221674165</v>
      </c>
      <c r="N43" s="36">
        <f t="shared" si="9"/>
        <v>6231.7297614475074</v>
      </c>
      <c r="O43" s="36">
        <f t="shared" si="10"/>
        <v>67184.248060303784</v>
      </c>
      <c r="Q43" s="36">
        <f t="shared" si="11"/>
        <v>12188.978766681175</v>
      </c>
      <c r="V43" s="28"/>
      <c r="W43" s="28"/>
    </row>
    <row r="44" spans="1:23" s="42" customFormat="1" x14ac:dyDescent="0.25">
      <c r="A44" s="4">
        <v>45261</v>
      </c>
      <c r="B44" s="39"/>
      <c r="C44" s="36">
        <f t="shared" si="2"/>
        <v>6408000.4119999995</v>
      </c>
      <c r="D44" s="36">
        <f t="shared" si="3"/>
        <v>2458463.7479999997</v>
      </c>
      <c r="E44" s="26">
        <v>6683.17</v>
      </c>
      <c r="F44" s="26">
        <v>-482.16</v>
      </c>
      <c r="G44" s="30"/>
      <c r="H44" s="36">
        <f t="shared" si="4"/>
        <v>1971731.8063999997</v>
      </c>
      <c r="I44" s="36">
        <f t="shared" si="5"/>
        <v>123233.23789999998</v>
      </c>
      <c r="J44" s="36">
        <f t="shared" si="6"/>
        <v>123233.23789999998</v>
      </c>
      <c r="L44" s="36">
        <f t="shared" si="7"/>
        <v>131536.57391808197</v>
      </c>
      <c r="M44" s="36">
        <f t="shared" si="8"/>
        <v>25731.602696124439</v>
      </c>
      <c r="N44" s="36">
        <f t="shared" si="9"/>
        <v>6493.3120447574684</v>
      </c>
      <c r="O44" s="36">
        <f t="shared" si="10"/>
        <v>70004.365376494155</v>
      </c>
      <c r="Q44" s="36">
        <f t="shared" si="11"/>
        <v>12700.621764541933</v>
      </c>
      <c r="V44" s="28"/>
      <c r="W44" s="28"/>
    </row>
    <row r="45" spans="1:23" s="42" customFormat="1" x14ac:dyDescent="0.25">
      <c r="A45" s="4">
        <v>45292</v>
      </c>
      <c r="B45" s="39"/>
      <c r="C45" s="36">
        <f t="shared" si="2"/>
        <v>5164627.0709999995</v>
      </c>
      <c r="D45" s="36">
        <f t="shared" si="3"/>
        <v>2060331.959</v>
      </c>
      <c r="E45" s="26">
        <v>10968.99</v>
      </c>
      <c r="F45" s="26">
        <v>0</v>
      </c>
      <c r="G45" s="30"/>
      <c r="H45" s="36">
        <f t="shared" si="4"/>
        <v>1657040.7592000002</v>
      </c>
      <c r="I45" s="36">
        <f t="shared" si="5"/>
        <v>103565.04745000001</v>
      </c>
      <c r="J45" s="36">
        <f t="shared" si="6"/>
        <v>103565.04745000001</v>
      </c>
      <c r="L45" s="36">
        <f t="shared" si="7"/>
        <v>110543.15987616028</v>
      </c>
      <c r="M45" s="36">
        <f t="shared" si="8"/>
        <v>21624.804310921023</v>
      </c>
      <c r="N45" s="36">
        <f t="shared" si="9"/>
        <v>5456.9707124685056</v>
      </c>
      <c r="O45" s="36">
        <f t="shared" si="10"/>
        <v>58831.574544904142</v>
      </c>
      <c r="Q45" s="36">
        <f t="shared" si="11"/>
        <v>10673.585455546065</v>
      </c>
      <c r="V45" s="28"/>
      <c r="W45" s="28"/>
    </row>
    <row r="46" spans="1:23" s="42" customFormat="1" x14ac:dyDescent="0.25">
      <c r="A46" s="4">
        <v>45323</v>
      </c>
      <c r="B46" s="39"/>
      <c r="C46" s="36">
        <f t="shared" si="2"/>
        <v>6756416.8779999977</v>
      </c>
      <c r="D46" s="36">
        <f t="shared" si="3"/>
        <v>2534072.561999999</v>
      </c>
      <c r="E46" s="26">
        <v>15092.749999999998</v>
      </c>
      <c r="F46" s="26">
        <v>2566.6</v>
      </c>
      <c r="G46" s="30"/>
      <c r="H46" s="36">
        <f t="shared" si="4"/>
        <v>2041385.5295999995</v>
      </c>
      <c r="I46" s="36">
        <f t="shared" si="5"/>
        <v>127586.59559999997</v>
      </c>
      <c r="J46" s="36">
        <f t="shared" si="6"/>
        <v>127586.59559999997</v>
      </c>
      <c r="L46" s="36">
        <f t="shared" si="7"/>
        <v>136183.25663660769</v>
      </c>
      <c r="M46" s="36">
        <f t="shared" si="8"/>
        <v>26640.601539613512</v>
      </c>
      <c r="N46" s="36">
        <f t="shared" si="9"/>
        <v>6722.6958576820789</v>
      </c>
      <c r="O46" s="36">
        <f t="shared" si="10"/>
        <v>72477.351141038234</v>
      </c>
      <c r="Q46" s="36">
        <f t="shared" si="11"/>
        <v>13149.28602505842</v>
      </c>
      <c r="V46" s="28"/>
      <c r="W46" s="28"/>
    </row>
    <row r="47" spans="1:23" s="42" customFormat="1" x14ac:dyDescent="0.25">
      <c r="A47" s="4">
        <v>45352</v>
      </c>
      <c r="B47" s="39"/>
      <c r="C47" s="36">
        <f t="shared" si="2"/>
        <v>7295401.2839999972</v>
      </c>
      <c r="D47" s="36">
        <f t="shared" si="3"/>
        <v>2766350.3359999992</v>
      </c>
      <c r="E47" s="26">
        <v>7408.03</v>
      </c>
      <c r="F47" s="26">
        <v>0</v>
      </c>
      <c r="G47" s="30"/>
      <c r="H47" s="36">
        <f t="shared" si="4"/>
        <v>2219006.6927999994</v>
      </c>
      <c r="I47" s="36">
        <f t="shared" si="5"/>
        <v>138687.91829999996</v>
      </c>
      <c r="J47" s="36">
        <f t="shared" si="6"/>
        <v>138687.91829999996</v>
      </c>
      <c r="L47" s="36">
        <f t="shared" si="7"/>
        <v>148032.57569046522</v>
      </c>
      <c r="M47" s="36">
        <f t="shared" si="8"/>
        <v>28958.6029975454</v>
      </c>
      <c r="N47" s="36">
        <f t="shared" si="9"/>
        <v>7307.6383101326392</v>
      </c>
      <c r="O47" s="36">
        <f t="shared" si="10"/>
        <v>78783.612858220367</v>
      </c>
      <c r="Q47" s="36">
        <f t="shared" si="11"/>
        <v>14293.406743636271</v>
      </c>
      <c r="V47" s="28"/>
      <c r="W47" s="28"/>
    </row>
    <row r="48" spans="1:23" s="42" customFormat="1" ht="15.75" thickBot="1" x14ac:dyDescent="0.3">
      <c r="A48" s="4" t="s">
        <v>28</v>
      </c>
      <c r="B48" s="39"/>
      <c r="C48" s="51">
        <f t="shared" ref="C48:D48" si="12">SUM(C36:C47)</f>
        <v>77744058.637999982</v>
      </c>
      <c r="D48" s="51">
        <f t="shared" si="12"/>
        <v>29474275.28199999</v>
      </c>
      <c r="E48" s="31">
        <f>SUM(E36:E47)</f>
        <v>105619.99</v>
      </c>
      <c r="F48" s="31">
        <f>SUM(F36:F47)</f>
        <v>7826.3099999999995</v>
      </c>
      <c r="G48" s="36"/>
      <c r="H48" s="51">
        <f>SUM(H36:H47)</f>
        <v>23670177.265599996</v>
      </c>
      <c r="I48" s="51">
        <f t="shared" ref="I48:Q48" si="13">SUM(I36:I47)</f>
        <v>1479386.0790999997</v>
      </c>
      <c r="J48" s="51">
        <f t="shared" si="13"/>
        <v>1479386.0790999997</v>
      </c>
      <c r="K48" s="51"/>
      <c r="L48" s="51">
        <f t="shared" si="13"/>
        <v>1579065.677920637</v>
      </c>
      <c r="M48" s="51">
        <f t="shared" si="13"/>
        <v>308901.84718240303</v>
      </c>
      <c r="N48" s="51">
        <f t="shared" si="13"/>
        <v>77950.686113284013</v>
      </c>
      <c r="O48" s="51">
        <f t="shared" si="13"/>
        <v>840385.96549945453</v>
      </c>
      <c r="P48" s="51"/>
      <c r="Q48" s="51">
        <f t="shared" si="13"/>
        <v>152467.98148422109</v>
      </c>
      <c r="V48" s="28"/>
      <c r="W48" s="28"/>
    </row>
    <row r="49" spans="1:21" s="42" customFormat="1" ht="15.75" thickTop="1" x14ac:dyDescent="0.25">
      <c r="A49" s="39"/>
      <c r="B49" s="39"/>
      <c r="C49" s="36"/>
      <c r="D49" s="40"/>
      <c r="E49" s="40"/>
      <c r="F49" s="40"/>
      <c r="G49" s="40"/>
      <c r="H49" s="40"/>
      <c r="I49" s="40"/>
      <c r="L49" s="40"/>
      <c r="M49" s="40"/>
      <c r="N49" s="40"/>
      <c r="O49" s="40"/>
      <c r="Q49" s="40"/>
    </row>
    <row r="50" spans="1:21" s="42" customFormat="1" x14ac:dyDescent="0.25">
      <c r="A50" s="39"/>
      <c r="B50" s="39"/>
      <c r="C50" s="40">
        <f>C48/W26</f>
        <v>0.72510041702390216</v>
      </c>
      <c r="D50" s="40">
        <f>D48/W26</f>
        <v>0.27489958297609773</v>
      </c>
      <c r="E50" s="40"/>
      <c r="F50" s="40"/>
      <c r="G50" s="40"/>
      <c r="H50" s="40">
        <f>H48/($D$48+$E$48+$F$48)</f>
        <v>0.80000000000000016</v>
      </c>
      <c r="I50" s="40">
        <f t="shared" ref="I50:Q50" si="14">I48/($D$48+$E$48+$F$48)</f>
        <v>5.000000000000001E-2</v>
      </c>
      <c r="J50" s="40">
        <f t="shared" si="14"/>
        <v>5.000000000000001E-2</v>
      </c>
      <c r="K50" s="40"/>
      <c r="L50" s="40">
        <f t="shared" si="14"/>
        <v>5.3368951493760128E-2</v>
      </c>
      <c r="M50" s="40">
        <f t="shared" si="14"/>
        <v>1.0440203931428327E-2</v>
      </c>
      <c r="N50" s="40">
        <f t="shared" si="14"/>
        <v>2.6345619718385533E-3</v>
      </c>
      <c r="O50" s="40">
        <f t="shared" si="14"/>
        <v>2.8403199724939703E-2</v>
      </c>
      <c r="P50" s="40"/>
      <c r="Q50" s="40">
        <f t="shared" si="14"/>
        <v>5.1530828780333203E-3</v>
      </c>
    </row>
    <row r="51" spans="1:21" s="42" customFormat="1" x14ac:dyDescent="0.25">
      <c r="A51" s="39"/>
      <c r="B51" s="39"/>
      <c r="C51" s="40"/>
      <c r="D51" s="40"/>
      <c r="H51" s="40"/>
      <c r="I51" s="40"/>
      <c r="J51" s="40"/>
      <c r="K51" s="40"/>
      <c r="L51" s="40"/>
      <c r="M51" s="40"/>
      <c r="N51" s="40"/>
      <c r="O51" s="40"/>
      <c r="P51" s="40"/>
      <c r="Q51" s="40"/>
      <c r="R51" s="40"/>
      <c r="S51" s="40"/>
      <c r="T51" s="40"/>
      <c r="U51" s="40"/>
    </row>
    <row r="52" spans="1:21" s="42" customFormat="1" x14ac:dyDescent="0.25">
      <c r="A52" s="52" t="s">
        <v>53</v>
      </c>
      <c r="B52" s="39"/>
      <c r="C52" s="40"/>
      <c r="D52" s="40"/>
      <c r="H52" s="40"/>
      <c r="I52" s="40"/>
      <c r="J52" s="40"/>
      <c r="K52" s="40"/>
      <c r="L52" s="40"/>
      <c r="M52" s="40"/>
      <c r="N52" s="40"/>
      <c r="O52" s="40"/>
      <c r="P52" s="40"/>
      <c r="Q52" s="40"/>
      <c r="R52" s="40"/>
      <c r="S52" s="40"/>
      <c r="T52" s="40"/>
      <c r="U52" s="40"/>
    </row>
    <row r="53" spans="1:21" s="42" customFormat="1" x14ac:dyDescent="0.25">
      <c r="A53" s="53" t="s">
        <v>83</v>
      </c>
      <c r="B53" s="39"/>
      <c r="C53" s="40"/>
      <c r="D53" s="40"/>
      <c r="H53" s="40"/>
      <c r="I53" s="40"/>
      <c r="J53" s="40"/>
      <c r="K53" s="40"/>
      <c r="L53" s="40"/>
      <c r="M53" s="40"/>
      <c r="N53" s="40"/>
      <c r="O53" s="40"/>
      <c r="P53" s="40"/>
      <c r="Q53" s="40"/>
      <c r="R53" s="40"/>
      <c r="S53" s="40"/>
      <c r="T53" s="40"/>
      <c r="U53" s="40"/>
    </row>
    <row r="54" spans="1:21" s="42" customFormat="1" x14ac:dyDescent="0.25">
      <c r="A54" s="53" t="s">
        <v>55</v>
      </c>
      <c r="B54" s="39"/>
      <c r="C54" s="40"/>
      <c r="D54" s="40"/>
      <c r="H54" s="40"/>
      <c r="I54" s="40"/>
      <c r="J54" s="40"/>
      <c r="K54" s="40"/>
      <c r="L54" s="40"/>
      <c r="M54" s="40"/>
      <c r="N54" s="40"/>
      <c r="O54" s="40"/>
      <c r="P54" s="40"/>
      <c r="Q54" s="40"/>
      <c r="R54" s="40"/>
      <c r="S54" s="40"/>
      <c r="T54" s="40"/>
      <c r="U54" s="40"/>
    </row>
    <row r="55" spans="1:21" s="42" customFormat="1" x14ac:dyDescent="0.25">
      <c r="A55" s="53" t="s">
        <v>56</v>
      </c>
      <c r="B55" s="39"/>
      <c r="C55" s="40"/>
      <c r="D55" s="40"/>
      <c r="H55" s="40"/>
      <c r="I55" s="40"/>
      <c r="J55" s="40"/>
      <c r="K55" s="40"/>
      <c r="L55" s="40"/>
      <c r="M55" s="40"/>
      <c r="N55" s="40"/>
      <c r="O55" s="40"/>
      <c r="P55" s="40"/>
      <c r="Q55" s="40"/>
      <c r="R55" s="40"/>
      <c r="S55" s="40"/>
      <c r="T55" s="40"/>
      <c r="U55" s="40"/>
    </row>
    <row r="56" spans="1:21" s="42" customFormat="1" x14ac:dyDescent="0.25">
      <c r="A56" s="53"/>
      <c r="B56" s="39"/>
      <c r="C56" s="40"/>
      <c r="D56" s="40"/>
      <c r="H56" s="40"/>
      <c r="I56" s="40"/>
      <c r="J56" s="40"/>
      <c r="K56" s="40"/>
      <c r="L56" s="40"/>
      <c r="M56" s="40"/>
      <c r="N56" s="40"/>
      <c r="O56" s="40"/>
      <c r="P56" s="40"/>
      <c r="Q56" s="40"/>
      <c r="R56" s="40"/>
      <c r="S56" s="40"/>
      <c r="T56" s="40"/>
      <c r="U56" s="40"/>
    </row>
    <row r="57" spans="1:21" s="42" customFormat="1" x14ac:dyDescent="0.25">
      <c r="A57" s="53" t="s">
        <v>57</v>
      </c>
      <c r="B57" s="39"/>
      <c r="C57" s="40"/>
      <c r="D57" s="54"/>
      <c r="H57" s="40"/>
      <c r="I57" s="40"/>
      <c r="J57" s="40"/>
      <c r="K57" s="40"/>
      <c r="L57" s="40"/>
      <c r="M57" s="40"/>
      <c r="N57" s="40"/>
      <c r="O57" s="40"/>
      <c r="P57" s="40"/>
      <c r="Q57" s="40"/>
      <c r="R57" s="40"/>
      <c r="S57" s="40"/>
      <c r="T57" s="40"/>
      <c r="U57" s="40"/>
    </row>
    <row r="59" spans="1:21" s="42" customFormat="1" x14ac:dyDescent="0.25">
      <c r="A59" s="53" t="s">
        <v>58</v>
      </c>
      <c r="B59" s="39"/>
      <c r="C59" s="40"/>
      <c r="D59" s="54"/>
      <c r="H59" s="40"/>
      <c r="I59" s="40"/>
      <c r="J59" s="40"/>
      <c r="K59" s="40"/>
      <c r="L59" s="40"/>
      <c r="M59" s="40"/>
      <c r="N59" s="40"/>
      <c r="O59" s="40"/>
      <c r="P59" s="40"/>
      <c r="Q59" s="40"/>
      <c r="R59" s="40"/>
      <c r="S59" s="40"/>
      <c r="T59" s="40"/>
      <c r="U59" s="40"/>
    </row>
    <row r="60" spans="1:21" s="42" customFormat="1" x14ac:dyDescent="0.25">
      <c r="A60" s="53" t="s">
        <v>73</v>
      </c>
      <c r="B60" s="39"/>
      <c r="C60" s="40"/>
      <c r="D60" s="54"/>
      <c r="H60" s="40"/>
      <c r="I60" s="40"/>
      <c r="J60" s="40"/>
      <c r="K60" s="40"/>
      <c r="L60" s="40"/>
      <c r="M60" s="40"/>
      <c r="N60" s="40"/>
      <c r="O60" s="40"/>
      <c r="P60" s="40"/>
      <c r="Q60" s="40"/>
      <c r="R60" s="40"/>
      <c r="S60" s="40"/>
      <c r="T60" s="40"/>
      <c r="U60" s="40"/>
    </row>
    <row r="62" spans="1:21" x14ac:dyDescent="0.25">
      <c r="A62" s="53" t="s">
        <v>60</v>
      </c>
    </row>
    <row r="63" spans="1:21" x14ac:dyDescent="0.25">
      <c r="A63" s="53"/>
    </row>
    <row r="64" spans="1:21" x14ac:dyDescent="0.25">
      <c r="A64" s="53" t="s">
        <v>74</v>
      </c>
    </row>
    <row r="65" spans="1:15" x14ac:dyDescent="0.25">
      <c r="A65" s="53"/>
      <c r="B65" s="55"/>
      <c r="C65" s="56"/>
      <c r="D65" s="56"/>
      <c r="E65" s="56"/>
      <c r="F65" s="56"/>
      <c r="G65" s="56"/>
      <c r="H65" s="56"/>
      <c r="I65" s="57"/>
      <c r="J65" s="56"/>
      <c r="K65" s="56"/>
      <c r="L65" s="56"/>
      <c r="M65" s="56"/>
      <c r="N65" s="56"/>
      <c r="O65" s="56"/>
    </row>
    <row r="66" spans="1:15" x14ac:dyDescent="0.25">
      <c r="A66" s="65" t="s">
        <v>68</v>
      </c>
    </row>
    <row r="68" spans="1:15" x14ac:dyDescent="0.25">
      <c r="D68" s="58"/>
    </row>
  </sheetData>
  <mergeCells count="13">
    <mergeCell ref="L34:Q34"/>
    <mergeCell ref="C10:I10"/>
    <mergeCell ref="L10:O10"/>
    <mergeCell ref="Q10:R10"/>
    <mergeCell ref="T10:U10"/>
    <mergeCell ref="A30:W30"/>
    <mergeCell ref="H32:Q32"/>
    <mergeCell ref="A8:W8"/>
    <mergeCell ref="A1:W1"/>
    <mergeCell ref="A2:W2"/>
    <mergeCell ref="A3:W3"/>
    <mergeCell ref="A4:W4"/>
    <mergeCell ref="A5:W5"/>
  </mergeCells>
  <hyperlinks>
    <hyperlink ref="A4" r:id="rId1" xr:uid="{86174BB9-D5C3-4BAF-8A9B-DA8ED8C6742A}"/>
  </hyperlinks>
  <printOptions horizontalCentered="1" verticalCentered="1"/>
  <pageMargins left="0" right="0" top="0.25" bottom="0.25" header="0.3" footer="0.3"/>
  <pageSetup scale="5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24188-C5C9-45F3-8E02-52E8CD9B64A9}">
  <sheetPr>
    <pageSetUpPr fitToPage="1"/>
  </sheetPr>
  <dimension ref="A1:W68"/>
  <sheetViews>
    <sheetView topLeftCell="A13" zoomScaleNormal="100" workbookViewId="0">
      <selection activeCell="C36" sqref="C36"/>
    </sheetView>
  </sheetViews>
  <sheetFormatPr defaultRowHeight="15" x14ac:dyDescent="0.25"/>
  <cols>
    <col min="1" max="1" width="9.28515625" style="4" customWidth="1"/>
    <col min="2" max="2" width="1.7109375" style="4" customWidth="1"/>
    <col min="3" max="3" width="14.140625" style="28" customWidth="1"/>
    <col min="4" max="4" width="13.140625" style="28" customWidth="1"/>
    <col min="5" max="5" width="14.140625" style="28" customWidth="1"/>
    <col min="6" max="6" width="15.85546875" style="28" customWidth="1"/>
    <col min="7" max="7" width="1.85546875" style="28" customWidth="1"/>
    <col min="8" max="8" width="14.28515625" style="28" customWidth="1"/>
    <col min="9" max="9" width="11.85546875" style="37" customWidth="1"/>
    <col min="10" max="10" width="11.5703125" style="28" customWidth="1"/>
    <col min="11" max="11" width="1.140625" style="28" customWidth="1"/>
    <col min="12" max="12" width="11.85546875" style="28" customWidth="1"/>
    <col min="13" max="13" width="12.7109375" style="28" customWidth="1"/>
    <col min="14" max="14" width="11.5703125" style="28" customWidth="1"/>
    <col min="15" max="15" width="12.42578125" style="28" customWidth="1"/>
    <col min="16" max="16" width="3.7109375" style="28" customWidth="1"/>
    <col min="17" max="17" width="11.42578125" style="28" customWidth="1"/>
    <col min="18" max="18" width="12.140625" style="28" customWidth="1"/>
    <col min="19" max="19" width="3.7109375" style="28" customWidth="1"/>
    <col min="20" max="20" width="14.7109375" style="28" customWidth="1"/>
    <col min="21" max="21" width="12.28515625" style="28" customWidth="1"/>
    <col min="22" max="22" width="3.7109375" style="1" customWidth="1"/>
    <col min="23" max="23" width="14.28515625" style="1" customWidth="1"/>
    <col min="24" max="24" width="9.85546875" style="1" customWidth="1"/>
    <col min="25" max="260" width="9.140625" style="1"/>
    <col min="261" max="261" width="9.28515625" style="1" customWidth="1"/>
    <col min="262" max="262" width="1.7109375" style="1" customWidth="1"/>
    <col min="263" max="266" width="12" style="1" customWidth="1"/>
    <col min="267" max="267" width="11.85546875" style="1" customWidth="1"/>
    <col min="268" max="268" width="10.7109375" style="1" customWidth="1"/>
    <col min="269" max="269" width="10.5703125" style="1" customWidth="1"/>
    <col min="270" max="270" width="1.140625" style="1" customWidth="1"/>
    <col min="271" max="271" width="11.28515625" style="1" customWidth="1"/>
    <col min="272" max="272" width="12.7109375" style="1" customWidth="1"/>
    <col min="273" max="273" width="11.5703125" style="1" customWidth="1"/>
    <col min="274" max="274" width="12.42578125" style="1" customWidth="1"/>
    <col min="275" max="275" width="1.5703125" style="1" customWidth="1"/>
    <col min="276" max="276" width="11.42578125" style="1" customWidth="1"/>
    <col min="277" max="277" width="12.140625" style="1" customWidth="1"/>
    <col min="278" max="278" width="1.7109375" style="1" customWidth="1"/>
    <col min="279" max="279" width="13.5703125" style="1" customWidth="1"/>
    <col min="280" max="516" width="9.140625" style="1"/>
    <col min="517" max="517" width="9.28515625" style="1" customWidth="1"/>
    <col min="518" max="518" width="1.7109375" style="1" customWidth="1"/>
    <col min="519" max="522" width="12" style="1" customWidth="1"/>
    <col min="523" max="523" width="11.85546875" style="1" customWidth="1"/>
    <col min="524" max="524" width="10.7109375" style="1" customWidth="1"/>
    <col min="525" max="525" width="10.5703125" style="1" customWidth="1"/>
    <col min="526" max="526" width="1.140625" style="1" customWidth="1"/>
    <col min="527" max="527" width="11.28515625" style="1" customWidth="1"/>
    <col min="528" max="528" width="12.7109375" style="1" customWidth="1"/>
    <col min="529" max="529" width="11.5703125" style="1" customWidth="1"/>
    <col min="530" max="530" width="12.42578125" style="1" customWidth="1"/>
    <col min="531" max="531" width="1.5703125" style="1" customWidth="1"/>
    <col min="532" max="532" width="11.42578125" style="1" customWidth="1"/>
    <col min="533" max="533" width="12.140625" style="1" customWidth="1"/>
    <col min="534" max="534" width="1.7109375" style="1" customWidth="1"/>
    <col min="535" max="535" width="13.5703125" style="1" customWidth="1"/>
    <col min="536" max="772" width="9.140625" style="1"/>
    <col min="773" max="773" width="9.28515625" style="1" customWidth="1"/>
    <col min="774" max="774" width="1.7109375" style="1" customWidth="1"/>
    <col min="775" max="778" width="12" style="1" customWidth="1"/>
    <col min="779" max="779" width="11.85546875" style="1" customWidth="1"/>
    <col min="780" max="780" width="10.7109375" style="1" customWidth="1"/>
    <col min="781" max="781" width="10.5703125" style="1" customWidth="1"/>
    <col min="782" max="782" width="1.140625" style="1" customWidth="1"/>
    <col min="783" max="783" width="11.28515625" style="1" customWidth="1"/>
    <col min="784" max="784" width="12.7109375" style="1" customWidth="1"/>
    <col min="785" max="785" width="11.5703125" style="1" customWidth="1"/>
    <col min="786" max="786" width="12.42578125" style="1" customWidth="1"/>
    <col min="787" max="787" width="1.5703125" style="1" customWidth="1"/>
    <col min="788" max="788" width="11.42578125" style="1" customWidth="1"/>
    <col min="789" max="789" width="12.140625" style="1" customWidth="1"/>
    <col min="790" max="790" width="1.7109375" style="1" customWidth="1"/>
    <col min="791" max="791" width="13.5703125" style="1" customWidth="1"/>
    <col min="792" max="1028" width="9.140625" style="1"/>
    <col min="1029" max="1029" width="9.28515625" style="1" customWidth="1"/>
    <col min="1030" max="1030" width="1.7109375" style="1" customWidth="1"/>
    <col min="1031" max="1034" width="12" style="1" customWidth="1"/>
    <col min="1035" max="1035" width="11.85546875" style="1" customWidth="1"/>
    <col min="1036" max="1036" width="10.7109375" style="1" customWidth="1"/>
    <col min="1037" max="1037" width="10.5703125" style="1" customWidth="1"/>
    <col min="1038" max="1038" width="1.140625" style="1" customWidth="1"/>
    <col min="1039" max="1039" width="11.28515625" style="1" customWidth="1"/>
    <col min="1040" max="1040" width="12.7109375" style="1" customWidth="1"/>
    <col min="1041" max="1041" width="11.5703125" style="1" customWidth="1"/>
    <col min="1042" max="1042" width="12.42578125" style="1" customWidth="1"/>
    <col min="1043" max="1043" width="1.5703125" style="1" customWidth="1"/>
    <col min="1044" max="1044" width="11.42578125" style="1" customWidth="1"/>
    <col min="1045" max="1045" width="12.140625" style="1" customWidth="1"/>
    <col min="1046" max="1046" width="1.7109375" style="1" customWidth="1"/>
    <col min="1047" max="1047" width="13.5703125" style="1" customWidth="1"/>
    <col min="1048" max="1284" width="9.140625" style="1"/>
    <col min="1285" max="1285" width="9.28515625" style="1" customWidth="1"/>
    <col min="1286" max="1286" width="1.7109375" style="1" customWidth="1"/>
    <col min="1287" max="1290" width="12" style="1" customWidth="1"/>
    <col min="1291" max="1291" width="11.85546875" style="1" customWidth="1"/>
    <col min="1292" max="1292" width="10.7109375" style="1" customWidth="1"/>
    <col min="1293" max="1293" width="10.5703125" style="1" customWidth="1"/>
    <col min="1294" max="1294" width="1.140625" style="1" customWidth="1"/>
    <col min="1295" max="1295" width="11.28515625" style="1" customWidth="1"/>
    <col min="1296" max="1296" width="12.7109375" style="1" customWidth="1"/>
    <col min="1297" max="1297" width="11.5703125" style="1" customWidth="1"/>
    <col min="1298" max="1298" width="12.42578125" style="1" customWidth="1"/>
    <col min="1299" max="1299" width="1.5703125" style="1" customWidth="1"/>
    <col min="1300" max="1300" width="11.42578125" style="1" customWidth="1"/>
    <col min="1301" max="1301" width="12.140625" style="1" customWidth="1"/>
    <col min="1302" max="1302" width="1.7109375" style="1" customWidth="1"/>
    <col min="1303" max="1303" width="13.5703125" style="1" customWidth="1"/>
    <col min="1304" max="1540" width="9.140625" style="1"/>
    <col min="1541" max="1541" width="9.28515625" style="1" customWidth="1"/>
    <col min="1542" max="1542" width="1.7109375" style="1" customWidth="1"/>
    <col min="1543" max="1546" width="12" style="1" customWidth="1"/>
    <col min="1547" max="1547" width="11.85546875" style="1" customWidth="1"/>
    <col min="1548" max="1548" width="10.7109375" style="1" customWidth="1"/>
    <col min="1549" max="1549" width="10.5703125" style="1" customWidth="1"/>
    <col min="1550" max="1550" width="1.140625" style="1" customWidth="1"/>
    <col min="1551" max="1551" width="11.28515625" style="1" customWidth="1"/>
    <col min="1552" max="1552" width="12.7109375" style="1" customWidth="1"/>
    <col min="1553" max="1553" width="11.5703125" style="1" customWidth="1"/>
    <col min="1554" max="1554" width="12.42578125" style="1" customWidth="1"/>
    <col min="1555" max="1555" width="1.5703125" style="1" customWidth="1"/>
    <col min="1556" max="1556" width="11.42578125" style="1" customWidth="1"/>
    <col min="1557" max="1557" width="12.140625" style="1" customWidth="1"/>
    <col min="1558" max="1558" width="1.7109375" style="1" customWidth="1"/>
    <col min="1559" max="1559" width="13.5703125" style="1" customWidth="1"/>
    <col min="1560" max="1796" width="9.140625" style="1"/>
    <col min="1797" max="1797" width="9.28515625" style="1" customWidth="1"/>
    <col min="1798" max="1798" width="1.7109375" style="1" customWidth="1"/>
    <col min="1799" max="1802" width="12" style="1" customWidth="1"/>
    <col min="1803" max="1803" width="11.85546875" style="1" customWidth="1"/>
    <col min="1804" max="1804" width="10.7109375" style="1" customWidth="1"/>
    <col min="1805" max="1805" width="10.5703125" style="1" customWidth="1"/>
    <col min="1806" max="1806" width="1.140625" style="1" customWidth="1"/>
    <col min="1807" max="1807" width="11.28515625" style="1" customWidth="1"/>
    <col min="1808" max="1808" width="12.7109375" style="1" customWidth="1"/>
    <col min="1809" max="1809" width="11.5703125" style="1" customWidth="1"/>
    <col min="1810" max="1810" width="12.42578125" style="1" customWidth="1"/>
    <col min="1811" max="1811" width="1.5703125" style="1" customWidth="1"/>
    <col min="1812" max="1812" width="11.42578125" style="1" customWidth="1"/>
    <col min="1813" max="1813" width="12.140625" style="1" customWidth="1"/>
    <col min="1814" max="1814" width="1.7109375" style="1" customWidth="1"/>
    <col min="1815" max="1815" width="13.5703125" style="1" customWidth="1"/>
    <col min="1816" max="2052" width="9.140625" style="1"/>
    <col min="2053" max="2053" width="9.28515625" style="1" customWidth="1"/>
    <col min="2054" max="2054" width="1.7109375" style="1" customWidth="1"/>
    <col min="2055" max="2058" width="12" style="1" customWidth="1"/>
    <col min="2059" max="2059" width="11.85546875" style="1" customWidth="1"/>
    <col min="2060" max="2060" width="10.7109375" style="1" customWidth="1"/>
    <col min="2061" max="2061" width="10.5703125" style="1" customWidth="1"/>
    <col min="2062" max="2062" width="1.140625" style="1" customWidth="1"/>
    <col min="2063" max="2063" width="11.28515625" style="1" customWidth="1"/>
    <col min="2064" max="2064" width="12.7109375" style="1" customWidth="1"/>
    <col min="2065" max="2065" width="11.5703125" style="1" customWidth="1"/>
    <col min="2066" max="2066" width="12.42578125" style="1" customWidth="1"/>
    <col min="2067" max="2067" width="1.5703125" style="1" customWidth="1"/>
    <col min="2068" max="2068" width="11.42578125" style="1" customWidth="1"/>
    <col min="2069" max="2069" width="12.140625" style="1" customWidth="1"/>
    <col min="2070" max="2070" width="1.7109375" style="1" customWidth="1"/>
    <col min="2071" max="2071" width="13.5703125" style="1" customWidth="1"/>
    <col min="2072" max="2308" width="9.140625" style="1"/>
    <col min="2309" max="2309" width="9.28515625" style="1" customWidth="1"/>
    <col min="2310" max="2310" width="1.7109375" style="1" customWidth="1"/>
    <col min="2311" max="2314" width="12" style="1" customWidth="1"/>
    <col min="2315" max="2315" width="11.85546875" style="1" customWidth="1"/>
    <col min="2316" max="2316" width="10.7109375" style="1" customWidth="1"/>
    <col min="2317" max="2317" width="10.5703125" style="1" customWidth="1"/>
    <col min="2318" max="2318" width="1.140625" style="1" customWidth="1"/>
    <col min="2319" max="2319" width="11.28515625" style="1" customWidth="1"/>
    <col min="2320" max="2320" width="12.7109375" style="1" customWidth="1"/>
    <col min="2321" max="2321" width="11.5703125" style="1" customWidth="1"/>
    <col min="2322" max="2322" width="12.42578125" style="1" customWidth="1"/>
    <col min="2323" max="2323" width="1.5703125" style="1" customWidth="1"/>
    <col min="2324" max="2324" width="11.42578125" style="1" customWidth="1"/>
    <col min="2325" max="2325" width="12.140625" style="1" customWidth="1"/>
    <col min="2326" max="2326" width="1.7109375" style="1" customWidth="1"/>
    <col min="2327" max="2327" width="13.5703125" style="1" customWidth="1"/>
    <col min="2328" max="2564" width="9.140625" style="1"/>
    <col min="2565" max="2565" width="9.28515625" style="1" customWidth="1"/>
    <col min="2566" max="2566" width="1.7109375" style="1" customWidth="1"/>
    <col min="2567" max="2570" width="12" style="1" customWidth="1"/>
    <col min="2571" max="2571" width="11.85546875" style="1" customWidth="1"/>
    <col min="2572" max="2572" width="10.7109375" style="1" customWidth="1"/>
    <col min="2573" max="2573" width="10.5703125" style="1" customWidth="1"/>
    <col min="2574" max="2574" width="1.140625" style="1" customWidth="1"/>
    <col min="2575" max="2575" width="11.28515625" style="1" customWidth="1"/>
    <col min="2576" max="2576" width="12.7109375" style="1" customWidth="1"/>
    <col min="2577" max="2577" width="11.5703125" style="1" customWidth="1"/>
    <col min="2578" max="2578" width="12.42578125" style="1" customWidth="1"/>
    <col min="2579" max="2579" width="1.5703125" style="1" customWidth="1"/>
    <col min="2580" max="2580" width="11.42578125" style="1" customWidth="1"/>
    <col min="2581" max="2581" width="12.140625" style="1" customWidth="1"/>
    <col min="2582" max="2582" width="1.7109375" style="1" customWidth="1"/>
    <col min="2583" max="2583" width="13.5703125" style="1" customWidth="1"/>
    <col min="2584" max="2820" width="9.140625" style="1"/>
    <col min="2821" max="2821" width="9.28515625" style="1" customWidth="1"/>
    <col min="2822" max="2822" width="1.7109375" style="1" customWidth="1"/>
    <col min="2823" max="2826" width="12" style="1" customWidth="1"/>
    <col min="2827" max="2827" width="11.85546875" style="1" customWidth="1"/>
    <col min="2828" max="2828" width="10.7109375" style="1" customWidth="1"/>
    <col min="2829" max="2829" width="10.5703125" style="1" customWidth="1"/>
    <col min="2830" max="2830" width="1.140625" style="1" customWidth="1"/>
    <col min="2831" max="2831" width="11.28515625" style="1" customWidth="1"/>
    <col min="2832" max="2832" width="12.7109375" style="1" customWidth="1"/>
    <col min="2833" max="2833" width="11.5703125" style="1" customWidth="1"/>
    <col min="2834" max="2834" width="12.42578125" style="1" customWidth="1"/>
    <col min="2835" max="2835" width="1.5703125" style="1" customWidth="1"/>
    <col min="2836" max="2836" width="11.42578125" style="1" customWidth="1"/>
    <col min="2837" max="2837" width="12.140625" style="1" customWidth="1"/>
    <col min="2838" max="2838" width="1.7109375" style="1" customWidth="1"/>
    <col min="2839" max="2839" width="13.5703125" style="1" customWidth="1"/>
    <col min="2840" max="3076" width="9.140625" style="1"/>
    <col min="3077" max="3077" width="9.28515625" style="1" customWidth="1"/>
    <col min="3078" max="3078" width="1.7109375" style="1" customWidth="1"/>
    <col min="3079" max="3082" width="12" style="1" customWidth="1"/>
    <col min="3083" max="3083" width="11.85546875" style="1" customWidth="1"/>
    <col min="3084" max="3084" width="10.7109375" style="1" customWidth="1"/>
    <col min="3085" max="3085" width="10.5703125" style="1" customWidth="1"/>
    <col min="3086" max="3086" width="1.140625" style="1" customWidth="1"/>
    <col min="3087" max="3087" width="11.28515625" style="1" customWidth="1"/>
    <col min="3088" max="3088" width="12.7109375" style="1" customWidth="1"/>
    <col min="3089" max="3089" width="11.5703125" style="1" customWidth="1"/>
    <col min="3090" max="3090" width="12.42578125" style="1" customWidth="1"/>
    <col min="3091" max="3091" width="1.5703125" style="1" customWidth="1"/>
    <col min="3092" max="3092" width="11.42578125" style="1" customWidth="1"/>
    <col min="3093" max="3093" width="12.140625" style="1" customWidth="1"/>
    <col min="3094" max="3094" width="1.7109375" style="1" customWidth="1"/>
    <col min="3095" max="3095" width="13.5703125" style="1" customWidth="1"/>
    <col min="3096" max="3332" width="9.140625" style="1"/>
    <col min="3333" max="3333" width="9.28515625" style="1" customWidth="1"/>
    <col min="3334" max="3334" width="1.7109375" style="1" customWidth="1"/>
    <col min="3335" max="3338" width="12" style="1" customWidth="1"/>
    <col min="3339" max="3339" width="11.85546875" style="1" customWidth="1"/>
    <col min="3340" max="3340" width="10.7109375" style="1" customWidth="1"/>
    <col min="3341" max="3341" width="10.5703125" style="1" customWidth="1"/>
    <col min="3342" max="3342" width="1.140625" style="1" customWidth="1"/>
    <col min="3343" max="3343" width="11.28515625" style="1" customWidth="1"/>
    <col min="3344" max="3344" width="12.7109375" style="1" customWidth="1"/>
    <col min="3345" max="3345" width="11.5703125" style="1" customWidth="1"/>
    <col min="3346" max="3346" width="12.42578125" style="1" customWidth="1"/>
    <col min="3347" max="3347" width="1.5703125" style="1" customWidth="1"/>
    <col min="3348" max="3348" width="11.42578125" style="1" customWidth="1"/>
    <col min="3349" max="3349" width="12.140625" style="1" customWidth="1"/>
    <col min="3350" max="3350" width="1.7109375" style="1" customWidth="1"/>
    <col min="3351" max="3351" width="13.5703125" style="1" customWidth="1"/>
    <col min="3352" max="3588" width="9.140625" style="1"/>
    <col min="3589" max="3589" width="9.28515625" style="1" customWidth="1"/>
    <col min="3590" max="3590" width="1.7109375" style="1" customWidth="1"/>
    <col min="3591" max="3594" width="12" style="1" customWidth="1"/>
    <col min="3595" max="3595" width="11.85546875" style="1" customWidth="1"/>
    <col min="3596" max="3596" width="10.7109375" style="1" customWidth="1"/>
    <col min="3597" max="3597" width="10.5703125" style="1" customWidth="1"/>
    <col min="3598" max="3598" width="1.140625" style="1" customWidth="1"/>
    <col min="3599" max="3599" width="11.28515625" style="1" customWidth="1"/>
    <col min="3600" max="3600" width="12.7109375" style="1" customWidth="1"/>
    <col min="3601" max="3601" width="11.5703125" style="1" customWidth="1"/>
    <col min="3602" max="3602" width="12.42578125" style="1" customWidth="1"/>
    <col min="3603" max="3603" width="1.5703125" style="1" customWidth="1"/>
    <col min="3604" max="3604" width="11.42578125" style="1" customWidth="1"/>
    <col min="3605" max="3605" width="12.140625" style="1" customWidth="1"/>
    <col min="3606" max="3606" width="1.7109375" style="1" customWidth="1"/>
    <col min="3607" max="3607" width="13.5703125" style="1" customWidth="1"/>
    <col min="3608" max="3844" width="9.140625" style="1"/>
    <col min="3845" max="3845" width="9.28515625" style="1" customWidth="1"/>
    <col min="3846" max="3846" width="1.7109375" style="1" customWidth="1"/>
    <col min="3847" max="3850" width="12" style="1" customWidth="1"/>
    <col min="3851" max="3851" width="11.85546875" style="1" customWidth="1"/>
    <col min="3852" max="3852" width="10.7109375" style="1" customWidth="1"/>
    <col min="3853" max="3853" width="10.5703125" style="1" customWidth="1"/>
    <col min="3854" max="3854" width="1.140625" style="1" customWidth="1"/>
    <col min="3855" max="3855" width="11.28515625" style="1" customWidth="1"/>
    <col min="3856" max="3856" width="12.7109375" style="1" customWidth="1"/>
    <col min="3857" max="3857" width="11.5703125" style="1" customWidth="1"/>
    <col min="3858" max="3858" width="12.42578125" style="1" customWidth="1"/>
    <col min="3859" max="3859" width="1.5703125" style="1" customWidth="1"/>
    <col min="3860" max="3860" width="11.42578125" style="1" customWidth="1"/>
    <col min="3861" max="3861" width="12.140625" style="1" customWidth="1"/>
    <col min="3862" max="3862" width="1.7109375" style="1" customWidth="1"/>
    <col min="3863" max="3863" width="13.5703125" style="1" customWidth="1"/>
    <col min="3864" max="4100" width="9.140625" style="1"/>
    <col min="4101" max="4101" width="9.28515625" style="1" customWidth="1"/>
    <col min="4102" max="4102" width="1.7109375" style="1" customWidth="1"/>
    <col min="4103" max="4106" width="12" style="1" customWidth="1"/>
    <col min="4107" max="4107" width="11.85546875" style="1" customWidth="1"/>
    <col min="4108" max="4108" width="10.7109375" style="1" customWidth="1"/>
    <col min="4109" max="4109" width="10.5703125" style="1" customWidth="1"/>
    <col min="4110" max="4110" width="1.140625" style="1" customWidth="1"/>
    <col min="4111" max="4111" width="11.28515625" style="1" customWidth="1"/>
    <col min="4112" max="4112" width="12.7109375" style="1" customWidth="1"/>
    <col min="4113" max="4113" width="11.5703125" style="1" customWidth="1"/>
    <col min="4114" max="4114" width="12.42578125" style="1" customWidth="1"/>
    <col min="4115" max="4115" width="1.5703125" style="1" customWidth="1"/>
    <col min="4116" max="4116" width="11.42578125" style="1" customWidth="1"/>
    <col min="4117" max="4117" width="12.140625" style="1" customWidth="1"/>
    <col min="4118" max="4118" width="1.7109375" style="1" customWidth="1"/>
    <col min="4119" max="4119" width="13.5703125" style="1" customWidth="1"/>
    <col min="4120" max="4356" width="9.140625" style="1"/>
    <col min="4357" max="4357" width="9.28515625" style="1" customWidth="1"/>
    <col min="4358" max="4358" width="1.7109375" style="1" customWidth="1"/>
    <col min="4359" max="4362" width="12" style="1" customWidth="1"/>
    <col min="4363" max="4363" width="11.85546875" style="1" customWidth="1"/>
    <col min="4364" max="4364" width="10.7109375" style="1" customWidth="1"/>
    <col min="4365" max="4365" width="10.5703125" style="1" customWidth="1"/>
    <col min="4366" max="4366" width="1.140625" style="1" customWidth="1"/>
    <col min="4367" max="4367" width="11.28515625" style="1" customWidth="1"/>
    <col min="4368" max="4368" width="12.7109375" style="1" customWidth="1"/>
    <col min="4369" max="4369" width="11.5703125" style="1" customWidth="1"/>
    <col min="4370" max="4370" width="12.42578125" style="1" customWidth="1"/>
    <col min="4371" max="4371" width="1.5703125" style="1" customWidth="1"/>
    <col min="4372" max="4372" width="11.42578125" style="1" customWidth="1"/>
    <col min="4373" max="4373" width="12.140625" style="1" customWidth="1"/>
    <col min="4374" max="4374" width="1.7109375" style="1" customWidth="1"/>
    <col min="4375" max="4375" width="13.5703125" style="1" customWidth="1"/>
    <col min="4376" max="4612" width="9.140625" style="1"/>
    <col min="4613" max="4613" width="9.28515625" style="1" customWidth="1"/>
    <col min="4614" max="4614" width="1.7109375" style="1" customWidth="1"/>
    <col min="4615" max="4618" width="12" style="1" customWidth="1"/>
    <col min="4619" max="4619" width="11.85546875" style="1" customWidth="1"/>
    <col min="4620" max="4620" width="10.7109375" style="1" customWidth="1"/>
    <col min="4621" max="4621" width="10.5703125" style="1" customWidth="1"/>
    <col min="4622" max="4622" width="1.140625" style="1" customWidth="1"/>
    <col min="4623" max="4623" width="11.28515625" style="1" customWidth="1"/>
    <col min="4624" max="4624" width="12.7109375" style="1" customWidth="1"/>
    <col min="4625" max="4625" width="11.5703125" style="1" customWidth="1"/>
    <col min="4626" max="4626" width="12.42578125" style="1" customWidth="1"/>
    <col min="4627" max="4627" width="1.5703125" style="1" customWidth="1"/>
    <col min="4628" max="4628" width="11.42578125" style="1" customWidth="1"/>
    <col min="4629" max="4629" width="12.140625" style="1" customWidth="1"/>
    <col min="4630" max="4630" width="1.7109375" style="1" customWidth="1"/>
    <col min="4631" max="4631" width="13.5703125" style="1" customWidth="1"/>
    <col min="4632" max="4868" width="9.140625" style="1"/>
    <col min="4869" max="4869" width="9.28515625" style="1" customWidth="1"/>
    <col min="4870" max="4870" width="1.7109375" style="1" customWidth="1"/>
    <col min="4871" max="4874" width="12" style="1" customWidth="1"/>
    <col min="4875" max="4875" width="11.85546875" style="1" customWidth="1"/>
    <col min="4876" max="4876" width="10.7109375" style="1" customWidth="1"/>
    <col min="4877" max="4877" width="10.5703125" style="1" customWidth="1"/>
    <col min="4878" max="4878" width="1.140625" style="1" customWidth="1"/>
    <col min="4879" max="4879" width="11.28515625" style="1" customWidth="1"/>
    <col min="4880" max="4880" width="12.7109375" style="1" customWidth="1"/>
    <col min="4881" max="4881" width="11.5703125" style="1" customWidth="1"/>
    <col min="4882" max="4882" width="12.42578125" style="1" customWidth="1"/>
    <col min="4883" max="4883" width="1.5703125" style="1" customWidth="1"/>
    <col min="4884" max="4884" width="11.42578125" style="1" customWidth="1"/>
    <col min="4885" max="4885" width="12.140625" style="1" customWidth="1"/>
    <col min="4886" max="4886" width="1.7109375" style="1" customWidth="1"/>
    <col min="4887" max="4887" width="13.5703125" style="1" customWidth="1"/>
    <col min="4888" max="5124" width="9.140625" style="1"/>
    <col min="5125" max="5125" width="9.28515625" style="1" customWidth="1"/>
    <col min="5126" max="5126" width="1.7109375" style="1" customWidth="1"/>
    <col min="5127" max="5130" width="12" style="1" customWidth="1"/>
    <col min="5131" max="5131" width="11.85546875" style="1" customWidth="1"/>
    <col min="5132" max="5132" width="10.7109375" style="1" customWidth="1"/>
    <col min="5133" max="5133" width="10.5703125" style="1" customWidth="1"/>
    <col min="5134" max="5134" width="1.140625" style="1" customWidth="1"/>
    <col min="5135" max="5135" width="11.28515625" style="1" customWidth="1"/>
    <col min="5136" max="5136" width="12.7109375" style="1" customWidth="1"/>
    <col min="5137" max="5137" width="11.5703125" style="1" customWidth="1"/>
    <col min="5138" max="5138" width="12.42578125" style="1" customWidth="1"/>
    <col min="5139" max="5139" width="1.5703125" style="1" customWidth="1"/>
    <col min="5140" max="5140" width="11.42578125" style="1" customWidth="1"/>
    <col min="5141" max="5141" width="12.140625" style="1" customWidth="1"/>
    <col min="5142" max="5142" width="1.7109375" style="1" customWidth="1"/>
    <col min="5143" max="5143" width="13.5703125" style="1" customWidth="1"/>
    <col min="5144" max="5380" width="9.140625" style="1"/>
    <col min="5381" max="5381" width="9.28515625" style="1" customWidth="1"/>
    <col min="5382" max="5382" width="1.7109375" style="1" customWidth="1"/>
    <col min="5383" max="5386" width="12" style="1" customWidth="1"/>
    <col min="5387" max="5387" width="11.85546875" style="1" customWidth="1"/>
    <col min="5388" max="5388" width="10.7109375" style="1" customWidth="1"/>
    <col min="5389" max="5389" width="10.5703125" style="1" customWidth="1"/>
    <col min="5390" max="5390" width="1.140625" style="1" customWidth="1"/>
    <col min="5391" max="5391" width="11.28515625" style="1" customWidth="1"/>
    <col min="5392" max="5392" width="12.7109375" style="1" customWidth="1"/>
    <col min="5393" max="5393" width="11.5703125" style="1" customWidth="1"/>
    <col min="5394" max="5394" width="12.42578125" style="1" customWidth="1"/>
    <col min="5395" max="5395" width="1.5703125" style="1" customWidth="1"/>
    <col min="5396" max="5396" width="11.42578125" style="1" customWidth="1"/>
    <col min="5397" max="5397" width="12.140625" style="1" customWidth="1"/>
    <col min="5398" max="5398" width="1.7109375" style="1" customWidth="1"/>
    <col min="5399" max="5399" width="13.5703125" style="1" customWidth="1"/>
    <col min="5400" max="5636" width="9.140625" style="1"/>
    <col min="5637" max="5637" width="9.28515625" style="1" customWidth="1"/>
    <col min="5638" max="5638" width="1.7109375" style="1" customWidth="1"/>
    <col min="5639" max="5642" width="12" style="1" customWidth="1"/>
    <col min="5643" max="5643" width="11.85546875" style="1" customWidth="1"/>
    <col min="5644" max="5644" width="10.7109375" style="1" customWidth="1"/>
    <col min="5645" max="5645" width="10.5703125" style="1" customWidth="1"/>
    <col min="5646" max="5646" width="1.140625" style="1" customWidth="1"/>
    <col min="5647" max="5647" width="11.28515625" style="1" customWidth="1"/>
    <col min="5648" max="5648" width="12.7109375" style="1" customWidth="1"/>
    <col min="5649" max="5649" width="11.5703125" style="1" customWidth="1"/>
    <col min="5650" max="5650" width="12.42578125" style="1" customWidth="1"/>
    <col min="5651" max="5651" width="1.5703125" style="1" customWidth="1"/>
    <col min="5652" max="5652" width="11.42578125" style="1" customWidth="1"/>
    <col min="5653" max="5653" width="12.140625" style="1" customWidth="1"/>
    <col min="5654" max="5654" width="1.7109375" style="1" customWidth="1"/>
    <col min="5655" max="5655" width="13.5703125" style="1" customWidth="1"/>
    <col min="5656" max="5892" width="9.140625" style="1"/>
    <col min="5893" max="5893" width="9.28515625" style="1" customWidth="1"/>
    <col min="5894" max="5894" width="1.7109375" style="1" customWidth="1"/>
    <col min="5895" max="5898" width="12" style="1" customWidth="1"/>
    <col min="5899" max="5899" width="11.85546875" style="1" customWidth="1"/>
    <col min="5900" max="5900" width="10.7109375" style="1" customWidth="1"/>
    <col min="5901" max="5901" width="10.5703125" style="1" customWidth="1"/>
    <col min="5902" max="5902" width="1.140625" style="1" customWidth="1"/>
    <col min="5903" max="5903" width="11.28515625" style="1" customWidth="1"/>
    <col min="5904" max="5904" width="12.7109375" style="1" customWidth="1"/>
    <col min="5905" max="5905" width="11.5703125" style="1" customWidth="1"/>
    <col min="5906" max="5906" width="12.42578125" style="1" customWidth="1"/>
    <col min="5907" max="5907" width="1.5703125" style="1" customWidth="1"/>
    <col min="5908" max="5908" width="11.42578125" style="1" customWidth="1"/>
    <col min="5909" max="5909" width="12.140625" style="1" customWidth="1"/>
    <col min="5910" max="5910" width="1.7109375" style="1" customWidth="1"/>
    <col min="5911" max="5911" width="13.5703125" style="1" customWidth="1"/>
    <col min="5912" max="6148" width="9.140625" style="1"/>
    <col min="6149" max="6149" width="9.28515625" style="1" customWidth="1"/>
    <col min="6150" max="6150" width="1.7109375" style="1" customWidth="1"/>
    <col min="6151" max="6154" width="12" style="1" customWidth="1"/>
    <col min="6155" max="6155" width="11.85546875" style="1" customWidth="1"/>
    <col min="6156" max="6156" width="10.7109375" style="1" customWidth="1"/>
    <col min="6157" max="6157" width="10.5703125" style="1" customWidth="1"/>
    <col min="6158" max="6158" width="1.140625" style="1" customWidth="1"/>
    <col min="6159" max="6159" width="11.28515625" style="1" customWidth="1"/>
    <col min="6160" max="6160" width="12.7109375" style="1" customWidth="1"/>
    <col min="6161" max="6161" width="11.5703125" style="1" customWidth="1"/>
    <col min="6162" max="6162" width="12.42578125" style="1" customWidth="1"/>
    <col min="6163" max="6163" width="1.5703125" style="1" customWidth="1"/>
    <col min="6164" max="6164" width="11.42578125" style="1" customWidth="1"/>
    <col min="6165" max="6165" width="12.140625" style="1" customWidth="1"/>
    <col min="6166" max="6166" width="1.7109375" style="1" customWidth="1"/>
    <col min="6167" max="6167" width="13.5703125" style="1" customWidth="1"/>
    <col min="6168" max="6404" width="9.140625" style="1"/>
    <col min="6405" max="6405" width="9.28515625" style="1" customWidth="1"/>
    <col min="6406" max="6406" width="1.7109375" style="1" customWidth="1"/>
    <col min="6407" max="6410" width="12" style="1" customWidth="1"/>
    <col min="6411" max="6411" width="11.85546875" style="1" customWidth="1"/>
    <col min="6412" max="6412" width="10.7109375" style="1" customWidth="1"/>
    <col min="6413" max="6413" width="10.5703125" style="1" customWidth="1"/>
    <col min="6414" max="6414" width="1.140625" style="1" customWidth="1"/>
    <col min="6415" max="6415" width="11.28515625" style="1" customWidth="1"/>
    <col min="6416" max="6416" width="12.7109375" style="1" customWidth="1"/>
    <col min="6417" max="6417" width="11.5703125" style="1" customWidth="1"/>
    <col min="6418" max="6418" width="12.42578125" style="1" customWidth="1"/>
    <col min="6419" max="6419" width="1.5703125" style="1" customWidth="1"/>
    <col min="6420" max="6420" width="11.42578125" style="1" customWidth="1"/>
    <col min="6421" max="6421" width="12.140625" style="1" customWidth="1"/>
    <col min="6422" max="6422" width="1.7109375" style="1" customWidth="1"/>
    <col min="6423" max="6423" width="13.5703125" style="1" customWidth="1"/>
    <col min="6424" max="6660" width="9.140625" style="1"/>
    <col min="6661" max="6661" width="9.28515625" style="1" customWidth="1"/>
    <col min="6662" max="6662" width="1.7109375" style="1" customWidth="1"/>
    <col min="6663" max="6666" width="12" style="1" customWidth="1"/>
    <col min="6667" max="6667" width="11.85546875" style="1" customWidth="1"/>
    <col min="6668" max="6668" width="10.7109375" style="1" customWidth="1"/>
    <col min="6669" max="6669" width="10.5703125" style="1" customWidth="1"/>
    <col min="6670" max="6670" width="1.140625" style="1" customWidth="1"/>
    <col min="6671" max="6671" width="11.28515625" style="1" customWidth="1"/>
    <col min="6672" max="6672" width="12.7109375" style="1" customWidth="1"/>
    <col min="6673" max="6673" width="11.5703125" style="1" customWidth="1"/>
    <col min="6674" max="6674" width="12.42578125" style="1" customWidth="1"/>
    <col min="6675" max="6675" width="1.5703125" style="1" customWidth="1"/>
    <col min="6676" max="6676" width="11.42578125" style="1" customWidth="1"/>
    <col min="6677" max="6677" width="12.140625" style="1" customWidth="1"/>
    <col min="6678" max="6678" width="1.7109375" style="1" customWidth="1"/>
    <col min="6679" max="6679" width="13.5703125" style="1" customWidth="1"/>
    <col min="6680" max="6916" width="9.140625" style="1"/>
    <col min="6917" max="6917" width="9.28515625" style="1" customWidth="1"/>
    <col min="6918" max="6918" width="1.7109375" style="1" customWidth="1"/>
    <col min="6919" max="6922" width="12" style="1" customWidth="1"/>
    <col min="6923" max="6923" width="11.85546875" style="1" customWidth="1"/>
    <col min="6924" max="6924" width="10.7109375" style="1" customWidth="1"/>
    <col min="6925" max="6925" width="10.5703125" style="1" customWidth="1"/>
    <col min="6926" max="6926" width="1.140625" style="1" customWidth="1"/>
    <col min="6927" max="6927" width="11.28515625" style="1" customWidth="1"/>
    <col min="6928" max="6928" width="12.7109375" style="1" customWidth="1"/>
    <col min="6929" max="6929" width="11.5703125" style="1" customWidth="1"/>
    <col min="6930" max="6930" width="12.42578125" style="1" customWidth="1"/>
    <col min="6931" max="6931" width="1.5703125" style="1" customWidth="1"/>
    <col min="6932" max="6932" width="11.42578125" style="1" customWidth="1"/>
    <col min="6933" max="6933" width="12.140625" style="1" customWidth="1"/>
    <col min="6934" max="6934" width="1.7109375" style="1" customWidth="1"/>
    <col min="6935" max="6935" width="13.5703125" style="1" customWidth="1"/>
    <col min="6936" max="7172" width="9.140625" style="1"/>
    <col min="7173" max="7173" width="9.28515625" style="1" customWidth="1"/>
    <col min="7174" max="7174" width="1.7109375" style="1" customWidth="1"/>
    <col min="7175" max="7178" width="12" style="1" customWidth="1"/>
    <col min="7179" max="7179" width="11.85546875" style="1" customWidth="1"/>
    <col min="7180" max="7180" width="10.7109375" style="1" customWidth="1"/>
    <col min="7181" max="7181" width="10.5703125" style="1" customWidth="1"/>
    <col min="7182" max="7182" width="1.140625" style="1" customWidth="1"/>
    <col min="7183" max="7183" width="11.28515625" style="1" customWidth="1"/>
    <col min="7184" max="7184" width="12.7109375" style="1" customWidth="1"/>
    <col min="7185" max="7185" width="11.5703125" style="1" customWidth="1"/>
    <col min="7186" max="7186" width="12.42578125" style="1" customWidth="1"/>
    <col min="7187" max="7187" width="1.5703125" style="1" customWidth="1"/>
    <col min="7188" max="7188" width="11.42578125" style="1" customWidth="1"/>
    <col min="7189" max="7189" width="12.140625" style="1" customWidth="1"/>
    <col min="7190" max="7190" width="1.7109375" style="1" customWidth="1"/>
    <col min="7191" max="7191" width="13.5703125" style="1" customWidth="1"/>
    <col min="7192" max="7428" width="9.140625" style="1"/>
    <col min="7429" max="7429" width="9.28515625" style="1" customWidth="1"/>
    <col min="7430" max="7430" width="1.7109375" style="1" customWidth="1"/>
    <col min="7431" max="7434" width="12" style="1" customWidth="1"/>
    <col min="7435" max="7435" width="11.85546875" style="1" customWidth="1"/>
    <col min="7436" max="7436" width="10.7109375" style="1" customWidth="1"/>
    <col min="7437" max="7437" width="10.5703125" style="1" customWidth="1"/>
    <col min="7438" max="7438" width="1.140625" style="1" customWidth="1"/>
    <col min="7439" max="7439" width="11.28515625" style="1" customWidth="1"/>
    <col min="7440" max="7440" width="12.7109375" style="1" customWidth="1"/>
    <col min="7441" max="7441" width="11.5703125" style="1" customWidth="1"/>
    <col min="7442" max="7442" width="12.42578125" style="1" customWidth="1"/>
    <col min="7443" max="7443" width="1.5703125" style="1" customWidth="1"/>
    <col min="7444" max="7444" width="11.42578125" style="1" customWidth="1"/>
    <col min="7445" max="7445" width="12.140625" style="1" customWidth="1"/>
    <col min="7446" max="7446" width="1.7109375" style="1" customWidth="1"/>
    <col min="7447" max="7447" width="13.5703125" style="1" customWidth="1"/>
    <col min="7448" max="7684" width="9.140625" style="1"/>
    <col min="7685" max="7685" width="9.28515625" style="1" customWidth="1"/>
    <col min="7686" max="7686" width="1.7109375" style="1" customWidth="1"/>
    <col min="7687" max="7690" width="12" style="1" customWidth="1"/>
    <col min="7691" max="7691" width="11.85546875" style="1" customWidth="1"/>
    <col min="7692" max="7692" width="10.7109375" style="1" customWidth="1"/>
    <col min="7693" max="7693" width="10.5703125" style="1" customWidth="1"/>
    <col min="7694" max="7694" width="1.140625" style="1" customWidth="1"/>
    <col min="7695" max="7695" width="11.28515625" style="1" customWidth="1"/>
    <col min="7696" max="7696" width="12.7109375" style="1" customWidth="1"/>
    <col min="7697" max="7697" width="11.5703125" style="1" customWidth="1"/>
    <col min="7698" max="7698" width="12.42578125" style="1" customWidth="1"/>
    <col min="7699" max="7699" width="1.5703125" style="1" customWidth="1"/>
    <col min="7700" max="7700" width="11.42578125" style="1" customWidth="1"/>
    <col min="7701" max="7701" width="12.140625" style="1" customWidth="1"/>
    <col min="7702" max="7702" width="1.7109375" style="1" customWidth="1"/>
    <col min="7703" max="7703" width="13.5703125" style="1" customWidth="1"/>
    <col min="7704" max="7940" width="9.140625" style="1"/>
    <col min="7941" max="7941" width="9.28515625" style="1" customWidth="1"/>
    <col min="7942" max="7942" width="1.7109375" style="1" customWidth="1"/>
    <col min="7943" max="7946" width="12" style="1" customWidth="1"/>
    <col min="7947" max="7947" width="11.85546875" style="1" customWidth="1"/>
    <col min="7948" max="7948" width="10.7109375" style="1" customWidth="1"/>
    <col min="7949" max="7949" width="10.5703125" style="1" customWidth="1"/>
    <col min="7950" max="7950" width="1.140625" style="1" customWidth="1"/>
    <col min="7951" max="7951" width="11.28515625" style="1" customWidth="1"/>
    <col min="7952" max="7952" width="12.7109375" style="1" customWidth="1"/>
    <col min="7953" max="7953" width="11.5703125" style="1" customWidth="1"/>
    <col min="7954" max="7954" width="12.42578125" style="1" customWidth="1"/>
    <col min="7955" max="7955" width="1.5703125" style="1" customWidth="1"/>
    <col min="7956" max="7956" width="11.42578125" style="1" customWidth="1"/>
    <col min="7957" max="7957" width="12.140625" style="1" customWidth="1"/>
    <col min="7958" max="7958" width="1.7109375" style="1" customWidth="1"/>
    <col min="7959" max="7959" width="13.5703125" style="1" customWidth="1"/>
    <col min="7960" max="8196" width="9.140625" style="1"/>
    <col min="8197" max="8197" width="9.28515625" style="1" customWidth="1"/>
    <col min="8198" max="8198" width="1.7109375" style="1" customWidth="1"/>
    <col min="8199" max="8202" width="12" style="1" customWidth="1"/>
    <col min="8203" max="8203" width="11.85546875" style="1" customWidth="1"/>
    <col min="8204" max="8204" width="10.7109375" style="1" customWidth="1"/>
    <col min="8205" max="8205" width="10.5703125" style="1" customWidth="1"/>
    <col min="8206" max="8206" width="1.140625" style="1" customWidth="1"/>
    <col min="8207" max="8207" width="11.28515625" style="1" customWidth="1"/>
    <col min="8208" max="8208" width="12.7109375" style="1" customWidth="1"/>
    <col min="8209" max="8209" width="11.5703125" style="1" customWidth="1"/>
    <col min="8210" max="8210" width="12.42578125" style="1" customWidth="1"/>
    <col min="8211" max="8211" width="1.5703125" style="1" customWidth="1"/>
    <col min="8212" max="8212" width="11.42578125" style="1" customWidth="1"/>
    <col min="8213" max="8213" width="12.140625" style="1" customWidth="1"/>
    <col min="8214" max="8214" width="1.7109375" style="1" customWidth="1"/>
    <col min="8215" max="8215" width="13.5703125" style="1" customWidth="1"/>
    <col min="8216" max="8452" width="9.140625" style="1"/>
    <col min="8453" max="8453" width="9.28515625" style="1" customWidth="1"/>
    <col min="8454" max="8454" width="1.7109375" style="1" customWidth="1"/>
    <col min="8455" max="8458" width="12" style="1" customWidth="1"/>
    <col min="8459" max="8459" width="11.85546875" style="1" customWidth="1"/>
    <col min="8460" max="8460" width="10.7109375" style="1" customWidth="1"/>
    <col min="8461" max="8461" width="10.5703125" style="1" customWidth="1"/>
    <col min="8462" max="8462" width="1.140625" style="1" customWidth="1"/>
    <col min="8463" max="8463" width="11.28515625" style="1" customWidth="1"/>
    <col min="8464" max="8464" width="12.7109375" style="1" customWidth="1"/>
    <col min="8465" max="8465" width="11.5703125" style="1" customWidth="1"/>
    <col min="8466" max="8466" width="12.42578125" style="1" customWidth="1"/>
    <col min="8467" max="8467" width="1.5703125" style="1" customWidth="1"/>
    <col min="8468" max="8468" width="11.42578125" style="1" customWidth="1"/>
    <col min="8469" max="8469" width="12.140625" style="1" customWidth="1"/>
    <col min="8470" max="8470" width="1.7109375" style="1" customWidth="1"/>
    <col min="8471" max="8471" width="13.5703125" style="1" customWidth="1"/>
    <col min="8472" max="8708" width="9.140625" style="1"/>
    <col min="8709" max="8709" width="9.28515625" style="1" customWidth="1"/>
    <col min="8710" max="8710" width="1.7109375" style="1" customWidth="1"/>
    <col min="8711" max="8714" width="12" style="1" customWidth="1"/>
    <col min="8715" max="8715" width="11.85546875" style="1" customWidth="1"/>
    <col min="8716" max="8716" width="10.7109375" style="1" customWidth="1"/>
    <col min="8717" max="8717" width="10.5703125" style="1" customWidth="1"/>
    <col min="8718" max="8718" width="1.140625" style="1" customWidth="1"/>
    <col min="8719" max="8719" width="11.28515625" style="1" customWidth="1"/>
    <col min="8720" max="8720" width="12.7109375" style="1" customWidth="1"/>
    <col min="8721" max="8721" width="11.5703125" style="1" customWidth="1"/>
    <col min="8722" max="8722" width="12.42578125" style="1" customWidth="1"/>
    <col min="8723" max="8723" width="1.5703125" style="1" customWidth="1"/>
    <col min="8724" max="8724" width="11.42578125" style="1" customWidth="1"/>
    <col min="8725" max="8725" width="12.140625" style="1" customWidth="1"/>
    <col min="8726" max="8726" width="1.7109375" style="1" customWidth="1"/>
    <col min="8727" max="8727" width="13.5703125" style="1" customWidth="1"/>
    <col min="8728" max="8964" width="9.140625" style="1"/>
    <col min="8965" max="8965" width="9.28515625" style="1" customWidth="1"/>
    <col min="8966" max="8966" width="1.7109375" style="1" customWidth="1"/>
    <col min="8967" max="8970" width="12" style="1" customWidth="1"/>
    <col min="8971" max="8971" width="11.85546875" style="1" customWidth="1"/>
    <col min="8972" max="8972" width="10.7109375" style="1" customWidth="1"/>
    <col min="8973" max="8973" width="10.5703125" style="1" customWidth="1"/>
    <col min="8974" max="8974" width="1.140625" style="1" customWidth="1"/>
    <col min="8975" max="8975" width="11.28515625" style="1" customWidth="1"/>
    <col min="8976" max="8976" width="12.7109375" style="1" customWidth="1"/>
    <col min="8977" max="8977" width="11.5703125" style="1" customWidth="1"/>
    <col min="8978" max="8978" width="12.42578125" style="1" customWidth="1"/>
    <col min="8979" max="8979" width="1.5703125" style="1" customWidth="1"/>
    <col min="8980" max="8980" width="11.42578125" style="1" customWidth="1"/>
    <col min="8981" max="8981" width="12.140625" style="1" customWidth="1"/>
    <col min="8982" max="8982" width="1.7109375" style="1" customWidth="1"/>
    <col min="8983" max="8983" width="13.5703125" style="1" customWidth="1"/>
    <col min="8984" max="9220" width="9.140625" style="1"/>
    <col min="9221" max="9221" width="9.28515625" style="1" customWidth="1"/>
    <col min="9222" max="9222" width="1.7109375" style="1" customWidth="1"/>
    <col min="9223" max="9226" width="12" style="1" customWidth="1"/>
    <col min="9227" max="9227" width="11.85546875" style="1" customWidth="1"/>
    <col min="9228" max="9228" width="10.7109375" style="1" customWidth="1"/>
    <col min="9229" max="9229" width="10.5703125" style="1" customWidth="1"/>
    <col min="9230" max="9230" width="1.140625" style="1" customWidth="1"/>
    <col min="9231" max="9231" width="11.28515625" style="1" customWidth="1"/>
    <col min="9232" max="9232" width="12.7109375" style="1" customWidth="1"/>
    <col min="9233" max="9233" width="11.5703125" style="1" customWidth="1"/>
    <col min="9234" max="9234" width="12.42578125" style="1" customWidth="1"/>
    <col min="9235" max="9235" width="1.5703125" style="1" customWidth="1"/>
    <col min="9236" max="9236" width="11.42578125" style="1" customWidth="1"/>
    <col min="9237" max="9237" width="12.140625" style="1" customWidth="1"/>
    <col min="9238" max="9238" width="1.7109375" style="1" customWidth="1"/>
    <col min="9239" max="9239" width="13.5703125" style="1" customWidth="1"/>
    <col min="9240" max="9476" width="9.140625" style="1"/>
    <col min="9477" max="9477" width="9.28515625" style="1" customWidth="1"/>
    <col min="9478" max="9478" width="1.7109375" style="1" customWidth="1"/>
    <col min="9479" max="9482" width="12" style="1" customWidth="1"/>
    <col min="9483" max="9483" width="11.85546875" style="1" customWidth="1"/>
    <col min="9484" max="9484" width="10.7109375" style="1" customWidth="1"/>
    <col min="9485" max="9485" width="10.5703125" style="1" customWidth="1"/>
    <col min="9486" max="9486" width="1.140625" style="1" customWidth="1"/>
    <col min="9487" max="9487" width="11.28515625" style="1" customWidth="1"/>
    <col min="9488" max="9488" width="12.7109375" style="1" customWidth="1"/>
    <col min="9489" max="9489" width="11.5703125" style="1" customWidth="1"/>
    <col min="9490" max="9490" width="12.42578125" style="1" customWidth="1"/>
    <col min="9491" max="9491" width="1.5703125" style="1" customWidth="1"/>
    <col min="9492" max="9492" width="11.42578125" style="1" customWidth="1"/>
    <col min="9493" max="9493" width="12.140625" style="1" customWidth="1"/>
    <col min="9494" max="9494" width="1.7109375" style="1" customWidth="1"/>
    <col min="9495" max="9495" width="13.5703125" style="1" customWidth="1"/>
    <col min="9496" max="9732" width="9.140625" style="1"/>
    <col min="9733" max="9733" width="9.28515625" style="1" customWidth="1"/>
    <col min="9734" max="9734" width="1.7109375" style="1" customWidth="1"/>
    <col min="9735" max="9738" width="12" style="1" customWidth="1"/>
    <col min="9739" max="9739" width="11.85546875" style="1" customWidth="1"/>
    <col min="9740" max="9740" width="10.7109375" style="1" customWidth="1"/>
    <col min="9741" max="9741" width="10.5703125" style="1" customWidth="1"/>
    <col min="9742" max="9742" width="1.140625" style="1" customWidth="1"/>
    <col min="9743" max="9743" width="11.28515625" style="1" customWidth="1"/>
    <col min="9744" max="9744" width="12.7109375" style="1" customWidth="1"/>
    <col min="9745" max="9745" width="11.5703125" style="1" customWidth="1"/>
    <col min="9746" max="9746" width="12.42578125" style="1" customWidth="1"/>
    <col min="9747" max="9747" width="1.5703125" style="1" customWidth="1"/>
    <col min="9748" max="9748" width="11.42578125" style="1" customWidth="1"/>
    <col min="9749" max="9749" width="12.140625" style="1" customWidth="1"/>
    <col min="9750" max="9750" width="1.7109375" style="1" customWidth="1"/>
    <col min="9751" max="9751" width="13.5703125" style="1" customWidth="1"/>
    <col min="9752" max="9988" width="9.140625" style="1"/>
    <col min="9989" max="9989" width="9.28515625" style="1" customWidth="1"/>
    <col min="9990" max="9990" width="1.7109375" style="1" customWidth="1"/>
    <col min="9991" max="9994" width="12" style="1" customWidth="1"/>
    <col min="9995" max="9995" width="11.85546875" style="1" customWidth="1"/>
    <col min="9996" max="9996" width="10.7109375" style="1" customWidth="1"/>
    <col min="9997" max="9997" width="10.5703125" style="1" customWidth="1"/>
    <col min="9998" max="9998" width="1.140625" style="1" customWidth="1"/>
    <col min="9999" max="9999" width="11.28515625" style="1" customWidth="1"/>
    <col min="10000" max="10000" width="12.7109375" style="1" customWidth="1"/>
    <col min="10001" max="10001" width="11.5703125" style="1" customWidth="1"/>
    <col min="10002" max="10002" width="12.42578125" style="1" customWidth="1"/>
    <col min="10003" max="10003" width="1.5703125" style="1" customWidth="1"/>
    <col min="10004" max="10004" width="11.42578125" style="1" customWidth="1"/>
    <col min="10005" max="10005" width="12.140625" style="1" customWidth="1"/>
    <col min="10006" max="10006" width="1.7109375" style="1" customWidth="1"/>
    <col min="10007" max="10007" width="13.5703125" style="1" customWidth="1"/>
    <col min="10008" max="10244" width="9.140625" style="1"/>
    <col min="10245" max="10245" width="9.28515625" style="1" customWidth="1"/>
    <col min="10246" max="10246" width="1.7109375" style="1" customWidth="1"/>
    <col min="10247" max="10250" width="12" style="1" customWidth="1"/>
    <col min="10251" max="10251" width="11.85546875" style="1" customWidth="1"/>
    <col min="10252" max="10252" width="10.7109375" style="1" customWidth="1"/>
    <col min="10253" max="10253" width="10.5703125" style="1" customWidth="1"/>
    <col min="10254" max="10254" width="1.140625" style="1" customWidth="1"/>
    <col min="10255" max="10255" width="11.28515625" style="1" customWidth="1"/>
    <col min="10256" max="10256" width="12.7109375" style="1" customWidth="1"/>
    <col min="10257" max="10257" width="11.5703125" style="1" customWidth="1"/>
    <col min="10258" max="10258" width="12.42578125" style="1" customWidth="1"/>
    <col min="10259" max="10259" width="1.5703125" style="1" customWidth="1"/>
    <col min="10260" max="10260" width="11.42578125" style="1" customWidth="1"/>
    <col min="10261" max="10261" width="12.140625" style="1" customWidth="1"/>
    <col min="10262" max="10262" width="1.7109375" style="1" customWidth="1"/>
    <col min="10263" max="10263" width="13.5703125" style="1" customWidth="1"/>
    <col min="10264" max="10500" width="9.140625" style="1"/>
    <col min="10501" max="10501" width="9.28515625" style="1" customWidth="1"/>
    <col min="10502" max="10502" width="1.7109375" style="1" customWidth="1"/>
    <col min="10503" max="10506" width="12" style="1" customWidth="1"/>
    <col min="10507" max="10507" width="11.85546875" style="1" customWidth="1"/>
    <col min="10508" max="10508" width="10.7109375" style="1" customWidth="1"/>
    <col min="10509" max="10509" width="10.5703125" style="1" customWidth="1"/>
    <col min="10510" max="10510" width="1.140625" style="1" customWidth="1"/>
    <col min="10511" max="10511" width="11.28515625" style="1" customWidth="1"/>
    <col min="10512" max="10512" width="12.7109375" style="1" customWidth="1"/>
    <col min="10513" max="10513" width="11.5703125" style="1" customWidth="1"/>
    <col min="10514" max="10514" width="12.42578125" style="1" customWidth="1"/>
    <col min="10515" max="10515" width="1.5703125" style="1" customWidth="1"/>
    <col min="10516" max="10516" width="11.42578125" style="1" customWidth="1"/>
    <col min="10517" max="10517" width="12.140625" style="1" customWidth="1"/>
    <col min="10518" max="10518" width="1.7109375" style="1" customWidth="1"/>
    <col min="10519" max="10519" width="13.5703125" style="1" customWidth="1"/>
    <col min="10520" max="10756" width="9.140625" style="1"/>
    <col min="10757" max="10757" width="9.28515625" style="1" customWidth="1"/>
    <col min="10758" max="10758" width="1.7109375" style="1" customWidth="1"/>
    <col min="10759" max="10762" width="12" style="1" customWidth="1"/>
    <col min="10763" max="10763" width="11.85546875" style="1" customWidth="1"/>
    <col min="10764" max="10764" width="10.7109375" style="1" customWidth="1"/>
    <col min="10765" max="10765" width="10.5703125" style="1" customWidth="1"/>
    <col min="10766" max="10766" width="1.140625" style="1" customWidth="1"/>
    <col min="10767" max="10767" width="11.28515625" style="1" customWidth="1"/>
    <col min="10768" max="10768" width="12.7109375" style="1" customWidth="1"/>
    <col min="10769" max="10769" width="11.5703125" style="1" customWidth="1"/>
    <col min="10770" max="10770" width="12.42578125" style="1" customWidth="1"/>
    <col min="10771" max="10771" width="1.5703125" style="1" customWidth="1"/>
    <col min="10772" max="10772" width="11.42578125" style="1" customWidth="1"/>
    <col min="10773" max="10773" width="12.140625" style="1" customWidth="1"/>
    <col min="10774" max="10774" width="1.7109375" style="1" customWidth="1"/>
    <col min="10775" max="10775" width="13.5703125" style="1" customWidth="1"/>
    <col min="10776" max="11012" width="9.140625" style="1"/>
    <col min="11013" max="11013" width="9.28515625" style="1" customWidth="1"/>
    <col min="11014" max="11014" width="1.7109375" style="1" customWidth="1"/>
    <col min="11015" max="11018" width="12" style="1" customWidth="1"/>
    <col min="11019" max="11019" width="11.85546875" style="1" customWidth="1"/>
    <col min="11020" max="11020" width="10.7109375" style="1" customWidth="1"/>
    <col min="11021" max="11021" width="10.5703125" style="1" customWidth="1"/>
    <col min="11022" max="11022" width="1.140625" style="1" customWidth="1"/>
    <col min="11023" max="11023" width="11.28515625" style="1" customWidth="1"/>
    <col min="11024" max="11024" width="12.7109375" style="1" customWidth="1"/>
    <col min="11025" max="11025" width="11.5703125" style="1" customWidth="1"/>
    <col min="11026" max="11026" width="12.42578125" style="1" customWidth="1"/>
    <col min="11027" max="11027" width="1.5703125" style="1" customWidth="1"/>
    <col min="11028" max="11028" width="11.42578125" style="1" customWidth="1"/>
    <col min="11029" max="11029" width="12.140625" style="1" customWidth="1"/>
    <col min="11030" max="11030" width="1.7109375" style="1" customWidth="1"/>
    <col min="11031" max="11031" width="13.5703125" style="1" customWidth="1"/>
    <col min="11032" max="11268" width="9.140625" style="1"/>
    <col min="11269" max="11269" width="9.28515625" style="1" customWidth="1"/>
    <col min="11270" max="11270" width="1.7109375" style="1" customWidth="1"/>
    <col min="11271" max="11274" width="12" style="1" customWidth="1"/>
    <col min="11275" max="11275" width="11.85546875" style="1" customWidth="1"/>
    <col min="11276" max="11276" width="10.7109375" style="1" customWidth="1"/>
    <col min="11277" max="11277" width="10.5703125" style="1" customWidth="1"/>
    <col min="11278" max="11278" width="1.140625" style="1" customWidth="1"/>
    <col min="11279" max="11279" width="11.28515625" style="1" customWidth="1"/>
    <col min="11280" max="11280" width="12.7109375" style="1" customWidth="1"/>
    <col min="11281" max="11281" width="11.5703125" style="1" customWidth="1"/>
    <col min="11282" max="11282" width="12.42578125" style="1" customWidth="1"/>
    <col min="11283" max="11283" width="1.5703125" style="1" customWidth="1"/>
    <col min="11284" max="11284" width="11.42578125" style="1" customWidth="1"/>
    <col min="11285" max="11285" width="12.140625" style="1" customWidth="1"/>
    <col min="11286" max="11286" width="1.7109375" style="1" customWidth="1"/>
    <col min="11287" max="11287" width="13.5703125" style="1" customWidth="1"/>
    <col min="11288" max="11524" width="9.140625" style="1"/>
    <col min="11525" max="11525" width="9.28515625" style="1" customWidth="1"/>
    <col min="11526" max="11526" width="1.7109375" style="1" customWidth="1"/>
    <col min="11527" max="11530" width="12" style="1" customWidth="1"/>
    <col min="11531" max="11531" width="11.85546875" style="1" customWidth="1"/>
    <col min="11532" max="11532" width="10.7109375" style="1" customWidth="1"/>
    <col min="11533" max="11533" width="10.5703125" style="1" customWidth="1"/>
    <col min="11534" max="11534" width="1.140625" style="1" customWidth="1"/>
    <col min="11535" max="11535" width="11.28515625" style="1" customWidth="1"/>
    <col min="11536" max="11536" width="12.7109375" style="1" customWidth="1"/>
    <col min="11537" max="11537" width="11.5703125" style="1" customWidth="1"/>
    <col min="11538" max="11538" width="12.42578125" style="1" customWidth="1"/>
    <col min="11539" max="11539" width="1.5703125" style="1" customWidth="1"/>
    <col min="11540" max="11540" width="11.42578125" style="1" customWidth="1"/>
    <col min="11541" max="11541" width="12.140625" style="1" customWidth="1"/>
    <col min="11542" max="11542" width="1.7109375" style="1" customWidth="1"/>
    <col min="11543" max="11543" width="13.5703125" style="1" customWidth="1"/>
    <col min="11544" max="11780" width="9.140625" style="1"/>
    <col min="11781" max="11781" width="9.28515625" style="1" customWidth="1"/>
    <col min="11782" max="11782" width="1.7109375" style="1" customWidth="1"/>
    <col min="11783" max="11786" width="12" style="1" customWidth="1"/>
    <col min="11787" max="11787" width="11.85546875" style="1" customWidth="1"/>
    <col min="11788" max="11788" width="10.7109375" style="1" customWidth="1"/>
    <col min="11789" max="11789" width="10.5703125" style="1" customWidth="1"/>
    <col min="11790" max="11790" width="1.140625" style="1" customWidth="1"/>
    <col min="11791" max="11791" width="11.28515625" style="1" customWidth="1"/>
    <col min="11792" max="11792" width="12.7109375" style="1" customWidth="1"/>
    <col min="11793" max="11793" width="11.5703125" style="1" customWidth="1"/>
    <col min="11794" max="11794" width="12.42578125" style="1" customWidth="1"/>
    <col min="11795" max="11795" width="1.5703125" style="1" customWidth="1"/>
    <col min="11796" max="11796" width="11.42578125" style="1" customWidth="1"/>
    <col min="11797" max="11797" width="12.140625" style="1" customWidth="1"/>
    <col min="11798" max="11798" width="1.7109375" style="1" customWidth="1"/>
    <col min="11799" max="11799" width="13.5703125" style="1" customWidth="1"/>
    <col min="11800" max="12036" width="9.140625" style="1"/>
    <col min="12037" max="12037" width="9.28515625" style="1" customWidth="1"/>
    <col min="12038" max="12038" width="1.7109375" style="1" customWidth="1"/>
    <col min="12039" max="12042" width="12" style="1" customWidth="1"/>
    <col min="12043" max="12043" width="11.85546875" style="1" customWidth="1"/>
    <col min="12044" max="12044" width="10.7109375" style="1" customWidth="1"/>
    <col min="12045" max="12045" width="10.5703125" style="1" customWidth="1"/>
    <col min="12046" max="12046" width="1.140625" style="1" customWidth="1"/>
    <col min="12047" max="12047" width="11.28515625" style="1" customWidth="1"/>
    <col min="12048" max="12048" width="12.7109375" style="1" customWidth="1"/>
    <col min="12049" max="12049" width="11.5703125" style="1" customWidth="1"/>
    <col min="12050" max="12050" width="12.42578125" style="1" customWidth="1"/>
    <col min="12051" max="12051" width="1.5703125" style="1" customWidth="1"/>
    <col min="12052" max="12052" width="11.42578125" style="1" customWidth="1"/>
    <col min="12053" max="12053" width="12.140625" style="1" customWidth="1"/>
    <col min="12054" max="12054" width="1.7109375" style="1" customWidth="1"/>
    <col min="12055" max="12055" width="13.5703125" style="1" customWidth="1"/>
    <col min="12056" max="12292" width="9.140625" style="1"/>
    <col min="12293" max="12293" width="9.28515625" style="1" customWidth="1"/>
    <col min="12294" max="12294" width="1.7109375" style="1" customWidth="1"/>
    <col min="12295" max="12298" width="12" style="1" customWidth="1"/>
    <col min="12299" max="12299" width="11.85546875" style="1" customWidth="1"/>
    <col min="12300" max="12300" width="10.7109375" style="1" customWidth="1"/>
    <col min="12301" max="12301" width="10.5703125" style="1" customWidth="1"/>
    <col min="12302" max="12302" width="1.140625" style="1" customWidth="1"/>
    <col min="12303" max="12303" width="11.28515625" style="1" customWidth="1"/>
    <col min="12304" max="12304" width="12.7109375" style="1" customWidth="1"/>
    <col min="12305" max="12305" width="11.5703125" style="1" customWidth="1"/>
    <col min="12306" max="12306" width="12.42578125" style="1" customWidth="1"/>
    <col min="12307" max="12307" width="1.5703125" style="1" customWidth="1"/>
    <col min="12308" max="12308" width="11.42578125" style="1" customWidth="1"/>
    <col min="12309" max="12309" width="12.140625" style="1" customWidth="1"/>
    <col min="12310" max="12310" width="1.7109375" style="1" customWidth="1"/>
    <col min="12311" max="12311" width="13.5703125" style="1" customWidth="1"/>
    <col min="12312" max="12548" width="9.140625" style="1"/>
    <col min="12549" max="12549" width="9.28515625" style="1" customWidth="1"/>
    <col min="12550" max="12550" width="1.7109375" style="1" customWidth="1"/>
    <col min="12551" max="12554" width="12" style="1" customWidth="1"/>
    <col min="12555" max="12555" width="11.85546875" style="1" customWidth="1"/>
    <col min="12556" max="12556" width="10.7109375" style="1" customWidth="1"/>
    <col min="12557" max="12557" width="10.5703125" style="1" customWidth="1"/>
    <col min="12558" max="12558" width="1.140625" style="1" customWidth="1"/>
    <col min="12559" max="12559" width="11.28515625" style="1" customWidth="1"/>
    <col min="12560" max="12560" width="12.7109375" style="1" customWidth="1"/>
    <col min="12561" max="12561" width="11.5703125" style="1" customWidth="1"/>
    <col min="12562" max="12562" width="12.42578125" style="1" customWidth="1"/>
    <col min="12563" max="12563" width="1.5703125" style="1" customWidth="1"/>
    <col min="12564" max="12564" width="11.42578125" style="1" customWidth="1"/>
    <col min="12565" max="12565" width="12.140625" style="1" customWidth="1"/>
    <col min="12566" max="12566" width="1.7109375" style="1" customWidth="1"/>
    <col min="12567" max="12567" width="13.5703125" style="1" customWidth="1"/>
    <col min="12568" max="12804" width="9.140625" style="1"/>
    <col min="12805" max="12805" width="9.28515625" style="1" customWidth="1"/>
    <col min="12806" max="12806" width="1.7109375" style="1" customWidth="1"/>
    <col min="12807" max="12810" width="12" style="1" customWidth="1"/>
    <col min="12811" max="12811" width="11.85546875" style="1" customWidth="1"/>
    <col min="12812" max="12812" width="10.7109375" style="1" customWidth="1"/>
    <col min="12813" max="12813" width="10.5703125" style="1" customWidth="1"/>
    <col min="12814" max="12814" width="1.140625" style="1" customWidth="1"/>
    <col min="12815" max="12815" width="11.28515625" style="1" customWidth="1"/>
    <col min="12816" max="12816" width="12.7109375" style="1" customWidth="1"/>
    <col min="12817" max="12817" width="11.5703125" style="1" customWidth="1"/>
    <col min="12818" max="12818" width="12.42578125" style="1" customWidth="1"/>
    <col min="12819" max="12819" width="1.5703125" style="1" customWidth="1"/>
    <col min="12820" max="12820" width="11.42578125" style="1" customWidth="1"/>
    <col min="12821" max="12821" width="12.140625" style="1" customWidth="1"/>
    <col min="12822" max="12822" width="1.7109375" style="1" customWidth="1"/>
    <col min="12823" max="12823" width="13.5703125" style="1" customWidth="1"/>
    <col min="12824" max="13060" width="9.140625" style="1"/>
    <col min="13061" max="13061" width="9.28515625" style="1" customWidth="1"/>
    <col min="13062" max="13062" width="1.7109375" style="1" customWidth="1"/>
    <col min="13063" max="13066" width="12" style="1" customWidth="1"/>
    <col min="13067" max="13067" width="11.85546875" style="1" customWidth="1"/>
    <col min="13068" max="13068" width="10.7109375" style="1" customWidth="1"/>
    <col min="13069" max="13069" width="10.5703125" style="1" customWidth="1"/>
    <col min="13070" max="13070" width="1.140625" style="1" customWidth="1"/>
    <col min="13071" max="13071" width="11.28515625" style="1" customWidth="1"/>
    <col min="13072" max="13072" width="12.7109375" style="1" customWidth="1"/>
    <col min="13073" max="13073" width="11.5703125" style="1" customWidth="1"/>
    <col min="13074" max="13074" width="12.42578125" style="1" customWidth="1"/>
    <col min="13075" max="13075" width="1.5703125" style="1" customWidth="1"/>
    <col min="13076" max="13076" width="11.42578125" style="1" customWidth="1"/>
    <col min="13077" max="13077" width="12.140625" style="1" customWidth="1"/>
    <col min="13078" max="13078" width="1.7109375" style="1" customWidth="1"/>
    <col min="13079" max="13079" width="13.5703125" style="1" customWidth="1"/>
    <col min="13080" max="13316" width="9.140625" style="1"/>
    <col min="13317" max="13317" width="9.28515625" style="1" customWidth="1"/>
    <col min="13318" max="13318" width="1.7109375" style="1" customWidth="1"/>
    <col min="13319" max="13322" width="12" style="1" customWidth="1"/>
    <col min="13323" max="13323" width="11.85546875" style="1" customWidth="1"/>
    <col min="13324" max="13324" width="10.7109375" style="1" customWidth="1"/>
    <col min="13325" max="13325" width="10.5703125" style="1" customWidth="1"/>
    <col min="13326" max="13326" width="1.140625" style="1" customWidth="1"/>
    <col min="13327" max="13327" width="11.28515625" style="1" customWidth="1"/>
    <col min="13328" max="13328" width="12.7109375" style="1" customWidth="1"/>
    <col min="13329" max="13329" width="11.5703125" style="1" customWidth="1"/>
    <col min="13330" max="13330" width="12.42578125" style="1" customWidth="1"/>
    <col min="13331" max="13331" width="1.5703125" style="1" customWidth="1"/>
    <col min="13332" max="13332" width="11.42578125" style="1" customWidth="1"/>
    <col min="13333" max="13333" width="12.140625" style="1" customWidth="1"/>
    <col min="13334" max="13334" width="1.7109375" style="1" customWidth="1"/>
    <col min="13335" max="13335" width="13.5703125" style="1" customWidth="1"/>
    <col min="13336" max="13572" width="9.140625" style="1"/>
    <col min="13573" max="13573" width="9.28515625" style="1" customWidth="1"/>
    <col min="13574" max="13574" width="1.7109375" style="1" customWidth="1"/>
    <col min="13575" max="13578" width="12" style="1" customWidth="1"/>
    <col min="13579" max="13579" width="11.85546875" style="1" customWidth="1"/>
    <col min="13580" max="13580" width="10.7109375" style="1" customWidth="1"/>
    <col min="13581" max="13581" width="10.5703125" style="1" customWidth="1"/>
    <col min="13582" max="13582" width="1.140625" style="1" customWidth="1"/>
    <col min="13583" max="13583" width="11.28515625" style="1" customWidth="1"/>
    <col min="13584" max="13584" width="12.7109375" style="1" customWidth="1"/>
    <col min="13585" max="13585" width="11.5703125" style="1" customWidth="1"/>
    <col min="13586" max="13586" width="12.42578125" style="1" customWidth="1"/>
    <col min="13587" max="13587" width="1.5703125" style="1" customWidth="1"/>
    <col min="13588" max="13588" width="11.42578125" style="1" customWidth="1"/>
    <col min="13589" max="13589" width="12.140625" style="1" customWidth="1"/>
    <col min="13590" max="13590" width="1.7109375" style="1" customWidth="1"/>
    <col min="13591" max="13591" width="13.5703125" style="1" customWidth="1"/>
    <col min="13592" max="13828" width="9.140625" style="1"/>
    <col min="13829" max="13829" width="9.28515625" style="1" customWidth="1"/>
    <col min="13830" max="13830" width="1.7109375" style="1" customWidth="1"/>
    <col min="13831" max="13834" width="12" style="1" customWidth="1"/>
    <col min="13835" max="13835" width="11.85546875" style="1" customWidth="1"/>
    <col min="13836" max="13836" width="10.7109375" style="1" customWidth="1"/>
    <col min="13837" max="13837" width="10.5703125" style="1" customWidth="1"/>
    <col min="13838" max="13838" width="1.140625" style="1" customWidth="1"/>
    <col min="13839" max="13839" width="11.28515625" style="1" customWidth="1"/>
    <col min="13840" max="13840" width="12.7109375" style="1" customWidth="1"/>
    <col min="13841" max="13841" width="11.5703125" style="1" customWidth="1"/>
    <col min="13842" max="13842" width="12.42578125" style="1" customWidth="1"/>
    <col min="13843" max="13843" width="1.5703125" style="1" customWidth="1"/>
    <col min="13844" max="13844" width="11.42578125" style="1" customWidth="1"/>
    <col min="13845" max="13845" width="12.140625" style="1" customWidth="1"/>
    <col min="13846" max="13846" width="1.7109375" style="1" customWidth="1"/>
    <col min="13847" max="13847" width="13.5703125" style="1" customWidth="1"/>
    <col min="13848" max="14084" width="9.140625" style="1"/>
    <col min="14085" max="14085" width="9.28515625" style="1" customWidth="1"/>
    <col min="14086" max="14086" width="1.7109375" style="1" customWidth="1"/>
    <col min="14087" max="14090" width="12" style="1" customWidth="1"/>
    <col min="14091" max="14091" width="11.85546875" style="1" customWidth="1"/>
    <col min="14092" max="14092" width="10.7109375" style="1" customWidth="1"/>
    <col min="14093" max="14093" width="10.5703125" style="1" customWidth="1"/>
    <col min="14094" max="14094" width="1.140625" style="1" customWidth="1"/>
    <col min="14095" max="14095" width="11.28515625" style="1" customWidth="1"/>
    <col min="14096" max="14096" width="12.7109375" style="1" customWidth="1"/>
    <col min="14097" max="14097" width="11.5703125" style="1" customWidth="1"/>
    <col min="14098" max="14098" width="12.42578125" style="1" customWidth="1"/>
    <col min="14099" max="14099" width="1.5703125" style="1" customWidth="1"/>
    <col min="14100" max="14100" width="11.42578125" style="1" customWidth="1"/>
    <col min="14101" max="14101" width="12.140625" style="1" customWidth="1"/>
    <col min="14102" max="14102" width="1.7109375" style="1" customWidth="1"/>
    <col min="14103" max="14103" width="13.5703125" style="1" customWidth="1"/>
    <col min="14104" max="14340" width="9.140625" style="1"/>
    <col min="14341" max="14341" width="9.28515625" style="1" customWidth="1"/>
    <col min="14342" max="14342" width="1.7109375" style="1" customWidth="1"/>
    <col min="14343" max="14346" width="12" style="1" customWidth="1"/>
    <col min="14347" max="14347" width="11.85546875" style="1" customWidth="1"/>
    <col min="14348" max="14348" width="10.7109375" style="1" customWidth="1"/>
    <col min="14349" max="14349" width="10.5703125" style="1" customWidth="1"/>
    <col min="14350" max="14350" width="1.140625" style="1" customWidth="1"/>
    <col min="14351" max="14351" width="11.28515625" style="1" customWidth="1"/>
    <col min="14352" max="14352" width="12.7109375" style="1" customWidth="1"/>
    <col min="14353" max="14353" width="11.5703125" style="1" customWidth="1"/>
    <col min="14354" max="14354" width="12.42578125" style="1" customWidth="1"/>
    <col min="14355" max="14355" width="1.5703125" style="1" customWidth="1"/>
    <col min="14356" max="14356" width="11.42578125" style="1" customWidth="1"/>
    <col min="14357" max="14357" width="12.140625" style="1" customWidth="1"/>
    <col min="14358" max="14358" width="1.7109375" style="1" customWidth="1"/>
    <col min="14359" max="14359" width="13.5703125" style="1" customWidth="1"/>
    <col min="14360" max="14596" width="9.140625" style="1"/>
    <col min="14597" max="14597" width="9.28515625" style="1" customWidth="1"/>
    <col min="14598" max="14598" width="1.7109375" style="1" customWidth="1"/>
    <col min="14599" max="14602" width="12" style="1" customWidth="1"/>
    <col min="14603" max="14603" width="11.85546875" style="1" customWidth="1"/>
    <col min="14604" max="14604" width="10.7109375" style="1" customWidth="1"/>
    <col min="14605" max="14605" width="10.5703125" style="1" customWidth="1"/>
    <col min="14606" max="14606" width="1.140625" style="1" customWidth="1"/>
    <col min="14607" max="14607" width="11.28515625" style="1" customWidth="1"/>
    <col min="14608" max="14608" width="12.7109375" style="1" customWidth="1"/>
    <col min="14609" max="14609" width="11.5703125" style="1" customWidth="1"/>
    <col min="14610" max="14610" width="12.42578125" style="1" customWidth="1"/>
    <col min="14611" max="14611" width="1.5703125" style="1" customWidth="1"/>
    <col min="14612" max="14612" width="11.42578125" style="1" customWidth="1"/>
    <col min="14613" max="14613" width="12.140625" style="1" customWidth="1"/>
    <col min="14614" max="14614" width="1.7109375" style="1" customWidth="1"/>
    <col min="14615" max="14615" width="13.5703125" style="1" customWidth="1"/>
    <col min="14616" max="14852" width="9.140625" style="1"/>
    <col min="14853" max="14853" width="9.28515625" style="1" customWidth="1"/>
    <col min="14854" max="14854" width="1.7109375" style="1" customWidth="1"/>
    <col min="14855" max="14858" width="12" style="1" customWidth="1"/>
    <col min="14859" max="14859" width="11.85546875" style="1" customWidth="1"/>
    <col min="14860" max="14860" width="10.7109375" style="1" customWidth="1"/>
    <col min="14861" max="14861" width="10.5703125" style="1" customWidth="1"/>
    <col min="14862" max="14862" width="1.140625" style="1" customWidth="1"/>
    <col min="14863" max="14863" width="11.28515625" style="1" customWidth="1"/>
    <col min="14864" max="14864" width="12.7109375" style="1" customWidth="1"/>
    <col min="14865" max="14865" width="11.5703125" style="1" customWidth="1"/>
    <col min="14866" max="14866" width="12.42578125" style="1" customWidth="1"/>
    <col min="14867" max="14867" width="1.5703125" style="1" customWidth="1"/>
    <col min="14868" max="14868" width="11.42578125" style="1" customWidth="1"/>
    <col min="14869" max="14869" width="12.140625" style="1" customWidth="1"/>
    <col min="14870" max="14870" width="1.7109375" style="1" customWidth="1"/>
    <col min="14871" max="14871" width="13.5703125" style="1" customWidth="1"/>
    <col min="14872" max="15108" width="9.140625" style="1"/>
    <col min="15109" max="15109" width="9.28515625" style="1" customWidth="1"/>
    <col min="15110" max="15110" width="1.7109375" style="1" customWidth="1"/>
    <col min="15111" max="15114" width="12" style="1" customWidth="1"/>
    <col min="15115" max="15115" width="11.85546875" style="1" customWidth="1"/>
    <col min="15116" max="15116" width="10.7109375" style="1" customWidth="1"/>
    <col min="15117" max="15117" width="10.5703125" style="1" customWidth="1"/>
    <col min="15118" max="15118" width="1.140625" style="1" customWidth="1"/>
    <col min="15119" max="15119" width="11.28515625" style="1" customWidth="1"/>
    <col min="15120" max="15120" width="12.7109375" style="1" customWidth="1"/>
    <col min="15121" max="15121" width="11.5703125" style="1" customWidth="1"/>
    <col min="15122" max="15122" width="12.42578125" style="1" customWidth="1"/>
    <col min="15123" max="15123" width="1.5703125" style="1" customWidth="1"/>
    <col min="15124" max="15124" width="11.42578125" style="1" customWidth="1"/>
    <col min="15125" max="15125" width="12.140625" style="1" customWidth="1"/>
    <col min="15126" max="15126" width="1.7109375" style="1" customWidth="1"/>
    <col min="15127" max="15127" width="13.5703125" style="1" customWidth="1"/>
    <col min="15128" max="15364" width="9.140625" style="1"/>
    <col min="15365" max="15365" width="9.28515625" style="1" customWidth="1"/>
    <col min="15366" max="15366" width="1.7109375" style="1" customWidth="1"/>
    <col min="15367" max="15370" width="12" style="1" customWidth="1"/>
    <col min="15371" max="15371" width="11.85546875" style="1" customWidth="1"/>
    <col min="15372" max="15372" width="10.7109375" style="1" customWidth="1"/>
    <col min="15373" max="15373" width="10.5703125" style="1" customWidth="1"/>
    <col min="15374" max="15374" width="1.140625" style="1" customWidth="1"/>
    <col min="15375" max="15375" width="11.28515625" style="1" customWidth="1"/>
    <col min="15376" max="15376" width="12.7109375" style="1" customWidth="1"/>
    <col min="15377" max="15377" width="11.5703125" style="1" customWidth="1"/>
    <col min="15378" max="15378" width="12.42578125" style="1" customWidth="1"/>
    <col min="15379" max="15379" width="1.5703125" style="1" customWidth="1"/>
    <col min="15380" max="15380" width="11.42578125" style="1" customWidth="1"/>
    <col min="15381" max="15381" width="12.140625" style="1" customWidth="1"/>
    <col min="15382" max="15382" width="1.7109375" style="1" customWidth="1"/>
    <col min="15383" max="15383" width="13.5703125" style="1" customWidth="1"/>
    <col min="15384" max="15620" width="9.140625" style="1"/>
    <col min="15621" max="15621" width="9.28515625" style="1" customWidth="1"/>
    <col min="15622" max="15622" width="1.7109375" style="1" customWidth="1"/>
    <col min="15623" max="15626" width="12" style="1" customWidth="1"/>
    <col min="15627" max="15627" width="11.85546875" style="1" customWidth="1"/>
    <col min="15628" max="15628" width="10.7109375" style="1" customWidth="1"/>
    <col min="15629" max="15629" width="10.5703125" style="1" customWidth="1"/>
    <col min="15630" max="15630" width="1.140625" style="1" customWidth="1"/>
    <col min="15631" max="15631" width="11.28515625" style="1" customWidth="1"/>
    <col min="15632" max="15632" width="12.7109375" style="1" customWidth="1"/>
    <col min="15633" max="15633" width="11.5703125" style="1" customWidth="1"/>
    <col min="15634" max="15634" width="12.42578125" style="1" customWidth="1"/>
    <col min="15635" max="15635" width="1.5703125" style="1" customWidth="1"/>
    <col min="15636" max="15636" width="11.42578125" style="1" customWidth="1"/>
    <col min="15637" max="15637" width="12.140625" style="1" customWidth="1"/>
    <col min="15638" max="15638" width="1.7109375" style="1" customWidth="1"/>
    <col min="15639" max="15639" width="13.5703125" style="1" customWidth="1"/>
    <col min="15640" max="15876" width="9.140625" style="1"/>
    <col min="15877" max="15877" width="9.28515625" style="1" customWidth="1"/>
    <col min="15878" max="15878" width="1.7109375" style="1" customWidth="1"/>
    <col min="15879" max="15882" width="12" style="1" customWidth="1"/>
    <col min="15883" max="15883" width="11.85546875" style="1" customWidth="1"/>
    <col min="15884" max="15884" width="10.7109375" style="1" customWidth="1"/>
    <col min="15885" max="15885" width="10.5703125" style="1" customWidth="1"/>
    <col min="15886" max="15886" width="1.140625" style="1" customWidth="1"/>
    <col min="15887" max="15887" width="11.28515625" style="1" customWidth="1"/>
    <col min="15888" max="15888" width="12.7109375" style="1" customWidth="1"/>
    <col min="15889" max="15889" width="11.5703125" style="1" customWidth="1"/>
    <col min="15890" max="15890" width="12.42578125" style="1" customWidth="1"/>
    <col min="15891" max="15891" width="1.5703125" style="1" customWidth="1"/>
    <col min="15892" max="15892" width="11.42578125" style="1" customWidth="1"/>
    <col min="15893" max="15893" width="12.140625" style="1" customWidth="1"/>
    <col min="15894" max="15894" width="1.7109375" style="1" customWidth="1"/>
    <col min="15895" max="15895" width="13.5703125" style="1" customWidth="1"/>
    <col min="15896" max="16132" width="9.140625" style="1"/>
    <col min="16133" max="16133" width="9.28515625" style="1" customWidth="1"/>
    <col min="16134" max="16134" width="1.7109375" style="1" customWidth="1"/>
    <col min="16135" max="16138" width="12" style="1" customWidth="1"/>
    <col min="16139" max="16139" width="11.85546875" style="1" customWidth="1"/>
    <col min="16140" max="16140" width="10.7109375" style="1" customWidth="1"/>
    <col min="16141" max="16141" width="10.5703125" style="1" customWidth="1"/>
    <col min="16142" max="16142" width="1.140625" style="1" customWidth="1"/>
    <col min="16143" max="16143" width="11.28515625" style="1" customWidth="1"/>
    <col min="16144" max="16144" width="12.7109375" style="1" customWidth="1"/>
    <col min="16145" max="16145" width="11.5703125" style="1" customWidth="1"/>
    <col min="16146" max="16146" width="12.42578125" style="1" customWidth="1"/>
    <col min="16147" max="16147" width="1.5703125" style="1" customWidth="1"/>
    <col min="16148" max="16148" width="11.42578125" style="1" customWidth="1"/>
    <col min="16149" max="16149" width="12.140625" style="1" customWidth="1"/>
    <col min="16150" max="16150" width="1.7109375" style="1" customWidth="1"/>
    <col min="16151" max="16151" width="13.5703125" style="1" customWidth="1"/>
    <col min="16152" max="16384" width="9.140625" style="1"/>
  </cols>
  <sheetData>
    <row r="1" spans="1:23" ht="18" x14ac:dyDescent="0.25">
      <c r="A1" s="86" t="s">
        <v>0</v>
      </c>
      <c r="B1" s="86"/>
      <c r="C1" s="86"/>
      <c r="D1" s="86"/>
      <c r="E1" s="86"/>
      <c r="F1" s="86"/>
      <c r="G1" s="86"/>
      <c r="H1" s="86"/>
      <c r="I1" s="86"/>
      <c r="J1" s="86"/>
      <c r="K1" s="86"/>
      <c r="L1" s="86"/>
      <c r="M1" s="86"/>
      <c r="N1" s="86"/>
      <c r="O1" s="86"/>
      <c r="P1" s="86"/>
      <c r="Q1" s="86"/>
      <c r="R1" s="86"/>
      <c r="S1" s="86"/>
      <c r="T1" s="86"/>
      <c r="U1" s="86"/>
      <c r="V1" s="86"/>
      <c r="W1" s="86"/>
    </row>
    <row r="2" spans="1:23" ht="15.75" x14ac:dyDescent="0.25">
      <c r="A2" s="87" t="s">
        <v>1</v>
      </c>
      <c r="B2" s="87"/>
      <c r="C2" s="87"/>
      <c r="D2" s="87"/>
      <c r="E2" s="87"/>
      <c r="F2" s="87"/>
      <c r="G2" s="87"/>
      <c r="H2" s="87"/>
      <c r="I2" s="87"/>
      <c r="J2" s="87"/>
      <c r="K2" s="87"/>
      <c r="L2" s="87"/>
      <c r="M2" s="87"/>
      <c r="N2" s="87"/>
      <c r="O2" s="87"/>
      <c r="P2" s="87"/>
      <c r="Q2" s="87"/>
      <c r="R2" s="87"/>
      <c r="S2" s="87"/>
      <c r="T2" s="87"/>
      <c r="U2" s="87"/>
      <c r="V2" s="87"/>
      <c r="W2" s="87"/>
    </row>
    <row r="3" spans="1:23" s="2" customFormat="1" ht="15.75" x14ac:dyDescent="0.25">
      <c r="A3" s="87" t="s">
        <v>2</v>
      </c>
      <c r="B3" s="87"/>
      <c r="C3" s="87"/>
      <c r="D3" s="87"/>
      <c r="E3" s="87"/>
      <c r="F3" s="87"/>
      <c r="G3" s="87"/>
      <c r="H3" s="87"/>
      <c r="I3" s="87"/>
      <c r="J3" s="87"/>
      <c r="K3" s="87"/>
      <c r="L3" s="87"/>
      <c r="M3" s="87"/>
      <c r="N3" s="87"/>
      <c r="O3" s="87"/>
      <c r="P3" s="87"/>
      <c r="Q3" s="87"/>
      <c r="R3" s="87"/>
      <c r="S3" s="87"/>
      <c r="T3" s="87"/>
      <c r="U3" s="87"/>
      <c r="V3" s="87"/>
      <c r="W3" s="87"/>
    </row>
    <row r="4" spans="1:23" s="2" customFormat="1" ht="14.25" customHeight="1" x14ac:dyDescent="0.25">
      <c r="A4" s="88" t="s">
        <v>3</v>
      </c>
      <c r="B4" s="88"/>
      <c r="C4" s="88"/>
      <c r="D4" s="88"/>
      <c r="E4" s="88"/>
      <c r="F4" s="88"/>
      <c r="G4" s="88"/>
      <c r="H4" s="88"/>
      <c r="I4" s="88"/>
      <c r="J4" s="88"/>
      <c r="K4" s="88"/>
      <c r="L4" s="88"/>
      <c r="M4" s="88"/>
      <c r="N4" s="88"/>
      <c r="O4" s="88"/>
      <c r="P4" s="88"/>
      <c r="Q4" s="88"/>
      <c r="R4" s="88"/>
      <c r="S4" s="88"/>
      <c r="T4" s="88"/>
      <c r="U4" s="88"/>
      <c r="V4" s="88"/>
      <c r="W4" s="88"/>
    </row>
    <row r="5" spans="1:23" s="2" customFormat="1" x14ac:dyDescent="0.25">
      <c r="A5" s="89" t="s">
        <v>4</v>
      </c>
      <c r="B5" s="89"/>
      <c r="C5" s="89"/>
      <c r="D5" s="89"/>
      <c r="E5" s="89"/>
      <c r="F5" s="89"/>
      <c r="G5" s="89"/>
      <c r="H5" s="89"/>
      <c r="I5" s="89"/>
      <c r="J5" s="89"/>
      <c r="K5" s="89"/>
      <c r="L5" s="89"/>
      <c r="M5" s="89"/>
      <c r="N5" s="89"/>
      <c r="O5" s="89"/>
      <c r="P5" s="89"/>
      <c r="Q5" s="89"/>
      <c r="R5" s="89"/>
      <c r="S5" s="89"/>
      <c r="T5" s="89"/>
      <c r="U5" s="89"/>
      <c r="V5" s="89"/>
      <c r="W5" s="89"/>
    </row>
    <row r="6" spans="1:23" s="2" customFormat="1" x14ac:dyDescent="0.25">
      <c r="A6" s="75"/>
      <c r="B6" s="75"/>
      <c r="C6" s="75"/>
      <c r="D6" s="75"/>
      <c r="E6" s="75"/>
      <c r="F6" s="75"/>
      <c r="G6" s="75"/>
      <c r="H6" s="75"/>
      <c r="I6" s="75"/>
      <c r="J6" s="75"/>
      <c r="K6" s="75"/>
      <c r="L6" s="75"/>
      <c r="M6" s="75"/>
      <c r="N6" s="75"/>
      <c r="O6" s="75"/>
      <c r="P6" s="75"/>
      <c r="Q6" s="75"/>
      <c r="R6" s="75"/>
      <c r="S6" s="75"/>
      <c r="T6" s="75"/>
      <c r="U6" s="75"/>
    </row>
    <row r="7" spans="1:23" s="2" customFormat="1" x14ac:dyDescent="0.25">
      <c r="A7" s="4"/>
      <c r="B7" s="4"/>
      <c r="C7" s="5"/>
      <c r="D7" s="5"/>
      <c r="E7" s="5"/>
      <c r="F7" s="5"/>
      <c r="G7" s="5"/>
      <c r="H7" s="6"/>
      <c r="I7" s="7"/>
      <c r="J7" s="6"/>
      <c r="K7" s="6"/>
      <c r="L7" s="6"/>
      <c r="M7" s="6"/>
      <c r="N7" s="6"/>
      <c r="O7" s="6"/>
      <c r="P7" s="6"/>
      <c r="Q7" s="6"/>
      <c r="R7" s="6"/>
      <c r="S7" s="6"/>
      <c r="T7" s="6"/>
      <c r="U7" s="6"/>
    </row>
    <row r="8" spans="1:23" s="8" customFormat="1" ht="14.25" customHeight="1" x14ac:dyDescent="0.25">
      <c r="A8" s="83" t="s">
        <v>80</v>
      </c>
      <c r="B8" s="84"/>
      <c r="C8" s="84"/>
      <c r="D8" s="84"/>
      <c r="E8" s="84"/>
      <c r="F8" s="84"/>
      <c r="G8" s="84"/>
      <c r="H8" s="84"/>
      <c r="I8" s="84"/>
      <c r="J8" s="84"/>
      <c r="K8" s="84"/>
      <c r="L8" s="84"/>
      <c r="M8" s="84"/>
      <c r="N8" s="84"/>
      <c r="O8" s="84"/>
      <c r="P8" s="84"/>
      <c r="Q8" s="84"/>
      <c r="R8" s="84"/>
      <c r="S8" s="84"/>
      <c r="T8" s="84"/>
      <c r="U8" s="84"/>
      <c r="V8" s="84"/>
      <c r="W8" s="85"/>
    </row>
    <row r="9" spans="1:23" s="2" customFormat="1" ht="9" customHeight="1" x14ac:dyDescent="0.25">
      <c r="A9" s="4"/>
      <c r="B9" s="4"/>
      <c r="C9" s="5"/>
      <c r="D9" s="5"/>
      <c r="E9" s="5"/>
      <c r="F9" s="5"/>
      <c r="G9" s="5"/>
      <c r="H9" s="6"/>
      <c r="I9" s="7"/>
      <c r="J9" s="6"/>
      <c r="K9" s="6"/>
      <c r="L9" s="6"/>
      <c r="M9" s="6"/>
      <c r="N9" s="6"/>
      <c r="O9" s="6"/>
      <c r="P9" s="6"/>
      <c r="Q9" s="6"/>
      <c r="R9" s="6"/>
      <c r="S9" s="6"/>
      <c r="T9" s="6"/>
      <c r="U9" s="6"/>
    </row>
    <row r="10" spans="1:23" s="13" customFormat="1" ht="12.75" x14ac:dyDescent="0.2">
      <c r="A10" s="9"/>
      <c r="B10" s="9"/>
      <c r="C10" s="91" t="s">
        <v>6</v>
      </c>
      <c r="D10" s="92"/>
      <c r="E10" s="92"/>
      <c r="F10" s="92"/>
      <c r="G10" s="92"/>
      <c r="H10" s="92"/>
      <c r="I10" s="92"/>
      <c r="J10" s="10"/>
      <c r="K10" s="11"/>
      <c r="L10" s="91" t="s">
        <v>7</v>
      </c>
      <c r="M10" s="92"/>
      <c r="N10" s="92"/>
      <c r="O10" s="93"/>
      <c r="P10" s="12"/>
      <c r="Q10" s="91" t="s">
        <v>8</v>
      </c>
      <c r="R10" s="93"/>
      <c r="S10" s="67"/>
      <c r="T10" s="91" t="s">
        <v>70</v>
      </c>
      <c r="U10" s="93"/>
    </row>
    <row r="11" spans="1:23" s="18" customFormat="1" ht="12" x14ac:dyDescent="0.2">
      <c r="A11" s="14"/>
      <c r="B11" s="14"/>
      <c r="C11" s="15"/>
      <c r="D11" s="16" t="s">
        <v>9</v>
      </c>
      <c r="E11" s="15"/>
      <c r="F11" s="16" t="s">
        <v>10</v>
      </c>
      <c r="G11" s="15"/>
      <c r="H11" s="17" t="s">
        <v>11</v>
      </c>
      <c r="I11" s="15"/>
      <c r="J11" s="15"/>
      <c r="K11" s="15"/>
      <c r="L11" s="16" t="s">
        <v>10</v>
      </c>
      <c r="M11" s="16"/>
      <c r="N11" s="16" t="s">
        <v>9</v>
      </c>
      <c r="O11" s="16" t="s">
        <v>10</v>
      </c>
      <c r="Q11" s="16" t="s">
        <v>10</v>
      </c>
      <c r="R11" s="16" t="s">
        <v>10</v>
      </c>
      <c r="S11" s="16"/>
      <c r="T11" s="16" t="s">
        <v>77</v>
      </c>
      <c r="U11" s="16" t="s">
        <v>77</v>
      </c>
      <c r="W11" s="16" t="s">
        <v>10</v>
      </c>
    </row>
    <row r="12" spans="1:23" s="21" customFormat="1" ht="12" x14ac:dyDescent="0.2">
      <c r="A12" s="19"/>
      <c r="B12" s="19"/>
      <c r="C12" s="16" t="s">
        <v>12</v>
      </c>
      <c r="D12" s="20" t="s">
        <v>13</v>
      </c>
      <c r="E12" s="16" t="s">
        <v>12</v>
      </c>
      <c r="F12" s="16" t="s">
        <v>14</v>
      </c>
      <c r="G12" s="16"/>
      <c r="H12" s="17" t="s">
        <v>15</v>
      </c>
      <c r="I12" s="16" t="s">
        <v>16</v>
      </c>
      <c r="J12" s="16"/>
      <c r="K12" s="16"/>
      <c r="L12" s="21" t="s">
        <v>11</v>
      </c>
      <c r="M12" s="16" t="s">
        <v>17</v>
      </c>
      <c r="N12" s="16" t="s">
        <v>17</v>
      </c>
      <c r="O12" s="16" t="s">
        <v>17</v>
      </c>
      <c r="Q12" s="21" t="s">
        <v>11</v>
      </c>
      <c r="R12" s="16" t="s">
        <v>18</v>
      </c>
      <c r="S12" s="16"/>
      <c r="T12" s="16" t="s">
        <v>78</v>
      </c>
      <c r="U12" s="16" t="s">
        <v>78</v>
      </c>
      <c r="W12" s="16" t="s">
        <v>10</v>
      </c>
    </row>
    <row r="13" spans="1:23" s="21" customFormat="1" ht="12" x14ac:dyDescent="0.2">
      <c r="A13" s="22" t="s">
        <v>19</v>
      </c>
      <c r="B13" s="22"/>
      <c r="C13" s="23" t="s">
        <v>20</v>
      </c>
      <c r="D13" s="23" t="s">
        <v>12</v>
      </c>
      <c r="E13" s="23" t="s">
        <v>21</v>
      </c>
      <c r="F13" s="23" t="s">
        <v>22</v>
      </c>
      <c r="G13" s="23"/>
      <c r="H13" s="24" t="s">
        <v>23</v>
      </c>
      <c r="I13" s="23" t="s">
        <v>24</v>
      </c>
      <c r="J13" s="20"/>
      <c r="K13" s="20"/>
      <c r="L13" s="23" t="s">
        <v>25</v>
      </c>
      <c r="M13" s="23" t="s">
        <v>26</v>
      </c>
      <c r="N13" s="23" t="s">
        <v>12</v>
      </c>
      <c r="O13" s="23" t="s">
        <v>22</v>
      </c>
      <c r="P13" s="25"/>
      <c r="Q13" s="23" t="s">
        <v>8</v>
      </c>
      <c r="R13" s="23" t="s">
        <v>22</v>
      </c>
      <c r="S13" s="20"/>
      <c r="T13" s="23" t="s">
        <v>79</v>
      </c>
      <c r="U13" s="23" t="s">
        <v>22</v>
      </c>
      <c r="W13" s="23" t="s">
        <v>27</v>
      </c>
    </row>
    <row r="14" spans="1:23" x14ac:dyDescent="0.25">
      <c r="A14" s="4">
        <v>44652</v>
      </c>
      <c r="C14" s="26">
        <v>109112156.02000001</v>
      </c>
      <c r="D14" s="26">
        <v>1186460.1299999999</v>
      </c>
      <c r="E14" s="26">
        <v>99539771.900000006</v>
      </c>
      <c r="F14" s="26">
        <v>8385923.9900000021</v>
      </c>
      <c r="G14" s="26"/>
      <c r="H14" s="27">
        <v>893</v>
      </c>
      <c r="I14" s="26">
        <v>313.02441172079142</v>
      </c>
      <c r="J14" s="26"/>
      <c r="L14" s="27">
        <v>28</v>
      </c>
      <c r="M14" s="26">
        <v>5632127</v>
      </c>
      <c r="N14" s="26">
        <v>138480</v>
      </c>
      <c r="O14" s="26">
        <v>1063802.5</v>
      </c>
      <c r="Q14" s="27">
        <v>6</v>
      </c>
      <c r="R14" s="26">
        <v>59567</v>
      </c>
      <c r="S14" s="26"/>
      <c r="T14" s="26">
        <v>544837</v>
      </c>
      <c r="U14" s="26">
        <v>14667.5</v>
      </c>
      <c r="W14" s="26">
        <f t="shared" ref="W14:W25" si="0">F14+O14+R14+U14</f>
        <v>9523960.9900000021</v>
      </c>
    </row>
    <row r="15" spans="1:23" x14ac:dyDescent="0.25">
      <c r="A15" s="4">
        <v>44682</v>
      </c>
      <c r="C15" s="26">
        <v>100303941.23</v>
      </c>
      <c r="D15" s="26">
        <v>1117342.2</v>
      </c>
      <c r="E15" s="26">
        <v>91687984.730000004</v>
      </c>
      <c r="F15" s="26">
        <v>7498614.2999999998</v>
      </c>
      <c r="G15" s="29"/>
      <c r="H15" s="27">
        <v>893</v>
      </c>
      <c r="I15" s="26">
        <v>271</v>
      </c>
      <c r="J15" s="26"/>
      <c r="K15" s="29"/>
      <c r="L15" s="27">
        <v>28</v>
      </c>
      <c r="M15" s="26">
        <v>4801919</v>
      </c>
      <c r="N15" s="26">
        <v>124945</v>
      </c>
      <c r="O15" s="26">
        <v>1197857.33</v>
      </c>
      <c r="P15" s="29"/>
      <c r="Q15" s="27">
        <v>6</v>
      </c>
      <c r="R15" s="26">
        <v>46816</v>
      </c>
      <c r="S15" s="26"/>
      <c r="T15" s="26">
        <v>521003.5</v>
      </c>
      <c r="U15" s="26">
        <v>-9522.5</v>
      </c>
      <c r="W15" s="26">
        <f t="shared" si="0"/>
        <v>8733765.129999999</v>
      </c>
    </row>
    <row r="16" spans="1:23" x14ac:dyDescent="0.25">
      <c r="A16" s="4">
        <v>44713</v>
      </c>
      <c r="C16" s="26">
        <v>99926475.019999996</v>
      </c>
      <c r="D16" s="26">
        <v>1138515.06</v>
      </c>
      <c r="E16" s="26">
        <v>91377658.019999996</v>
      </c>
      <c r="F16" s="26">
        <v>7410301.9399999976</v>
      </c>
      <c r="G16" s="29"/>
      <c r="H16" s="27">
        <v>893</v>
      </c>
      <c r="I16" s="26">
        <v>277</v>
      </c>
      <c r="J16" s="26"/>
      <c r="K16" s="29"/>
      <c r="L16" s="27">
        <v>28</v>
      </c>
      <c r="M16" s="26">
        <v>4923617</v>
      </c>
      <c r="N16" s="26">
        <v>129915</v>
      </c>
      <c r="O16" s="26">
        <v>581444.02</v>
      </c>
      <c r="P16" s="29"/>
      <c r="Q16" s="27">
        <v>6</v>
      </c>
      <c r="R16" s="26">
        <v>47776</v>
      </c>
      <c r="S16" s="26"/>
      <c r="T16" s="26">
        <v>332882.75</v>
      </c>
      <c r="U16" s="26">
        <v>20892.25</v>
      </c>
      <c r="W16" s="26">
        <f t="shared" si="0"/>
        <v>8060414.2099999972</v>
      </c>
    </row>
    <row r="17" spans="1:23" x14ac:dyDescent="0.25">
      <c r="A17" s="4">
        <v>44743</v>
      </c>
      <c r="C17" s="26">
        <v>110359537.57000001</v>
      </c>
      <c r="D17" s="26">
        <v>1236690.53</v>
      </c>
      <c r="E17" s="26">
        <v>100847459.75</v>
      </c>
      <c r="F17" s="26">
        <v>8275387.2900000019</v>
      </c>
      <c r="G17" s="30"/>
      <c r="H17" s="27">
        <v>895.51612903225805</v>
      </c>
      <c r="I17" s="26">
        <v>298.09399121069134</v>
      </c>
      <c r="J17" s="26"/>
      <c r="K17" s="30"/>
      <c r="L17" s="27">
        <v>28</v>
      </c>
      <c r="M17" s="26">
        <v>5346955</v>
      </c>
      <c r="N17" s="26">
        <v>132690</v>
      </c>
      <c r="O17" s="26">
        <v>852284.05</v>
      </c>
      <c r="P17" s="30"/>
      <c r="Q17" s="27">
        <v>6</v>
      </c>
      <c r="R17" s="26">
        <v>52957</v>
      </c>
      <c r="S17" s="26"/>
      <c r="T17" s="26">
        <v>235129.75</v>
      </c>
      <c r="U17" s="26">
        <v>35578.25</v>
      </c>
      <c r="V17" s="30"/>
      <c r="W17" s="26">
        <f t="shared" si="0"/>
        <v>9216206.5900000017</v>
      </c>
    </row>
    <row r="18" spans="1:23" x14ac:dyDescent="0.25">
      <c r="A18" s="4">
        <v>44774</v>
      </c>
      <c r="C18" s="26">
        <v>100112381.27000003</v>
      </c>
      <c r="D18" s="26">
        <v>1203783.8700000001</v>
      </c>
      <c r="E18" s="26">
        <v>91332158.530000001</v>
      </c>
      <c r="F18" s="26">
        <v>7576438.8699999992</v>
      </c>
      <c r="G18" s="30"/>
      <c r="H18" s="27">
        <v>895.74</v>
      </c>
      <c r="I18" s="26">
        <v>272.84715926936639</v>
      </c>
      <c r="J18" s="26"/>
      <c r="K18" s="30"/>
      <c r="L18" s="27">
        <v>28.258064516129032</v>
      </c>
      <c r="M18" s="26">
        <v>5339390</v>
      </c>
      <c r="N18" s="26">
        <v>140565</v>
      </c>
      <c r="O18" s="26">
        <v>1058425.07</v>
      </c>
      <c r="P18" s="30"/>
      <c r="Q18" s="27">
        <v>6</v>
      </c>
      <c r="R18" s="26">
        <v>56079</v>
      </c>
      <c r="S18" s="26"/>
      <c r="T18" s="26">
        <v>469913</v>
      </c>
      <c r="U18" s="26">
        <v>217531.5</v>
      </c>
      <c r="V18" s="30"/>
      <c r="W18" s="26">
        <f t="shared" si="0"/>
        <v>8908474.4399999995</v>
      </c>
    </row>
    <row r="19" spans="1:23" x14ac:dyDescent="0.25">
      <c r="A19" s="4">
        <v>44805</v>
      </c>
      <c r="C19" s="26">
        <v>100372992.25</v>
      </c>
      <c r="D19" s="26">
        <v>1166180.44</v>
      </c>
      <c r="E19" s="26">
        <v>91759066.219999999</v>
      </c>
      <c r="F19" s="26">
        <v>7447745.5899999999</v>
      </c>
      <c r="G19" s="30"/>
      <c r="H19" s="27">
        <v>895</v>
      </c>
      <c r="I19" s="26">
        <v>277.38344841713223</v>
      </c>
      <c r="J19" s="26"/>
      <c r="K19" s="30"/>
      <c r="L19" s="27">
        <v>29</v>
      </c>
      <c r="M19" s="26">
        <v>5319988</v>
      </c>
      <c r="N19" s="26">
        <v>145010</v>
      </c>
      <c r="O19" s="26">
        <v>1116587.0699999998</v>
      </c>
      <c r="P19" s="30"/>
      <c r="Q19" s="27">
        <v>6</v>
      </c>
      <c r="R19" s="26">
        <v>49958</v>
      </c>
      <c r="S19" s="26"/>
      <c r="T19" s="26">
        <v>589481</v>
      </c>
      <c r="U19" s="26">
        <v>161034</v>
      </c>
      <c r="V19" s="30"/>
      <c r="W19" s="26">
        <f t="shared" si="0"/>
        <v>8775324.6600000001</v>
      </c>
    </row>
    <row r="20" spans="1:23" x14ac:dyDescent="0.25">
      <c r="A20" s="4">
        <v>44835</v>
      </c>
      <c r="C20" s="26">
        <v>103247607.64999996</v>
      </c>
      <c r="D20" s="26">
        <v>1226752.6100000001</v>
      </c>
      <c r="E20" s="26">
        <v>94500082.150000006</v>
      </c>
      <c r="F20" s="26">
        <v>7520772.8899999978</v>
      </c>
      <c r="G20" s="30"/>
      <c r="H20" s="27">
        <v>895</v>
      </c>
      <c r="I20" s="26">
        <v>271.06768390701018</v>
      </c>
      <c r="J20" s="26"/>
      <c r="K20" s="30"/>
      <c r="L20" s="27">
        <v>29</v>
      </c>
      <c r="M20" s="26">
        <v>5365448</v>
      </c>
      <c r="N20" s="26">
        <v>147395</v>
      </c>
      <c r="O20" s="26">
        <v>1055050.3700000001</v>
      </c>
      <c r="P20" s="30"/>
      <c r="Q20" s="27">
        <v>6</v>
      </c>
      <c r="R20" s="26">
        <v>48775</v>
      </c>
      <c r="S20" s="26"/>
      <c r="T20" s="26">
        <v>912105.5</v>
      </c>
      <c r="U20" s="26">
        <v>157284.5</v>
      </c>
      <c r="V20" s="30"/>
      <c r="W20" s="26">
        <f>F20+O20+R20+U20</f>
        <v>8781882.7599999979</v>
      </c>
    </row>
    <row r="21" spans="1:23" x14ac:dyDescent="0.25">
      <c r="A21" s="4">
        <v>44866</v>
      </c>
      <c r="C21" s="26">
        <v>95829571.810000002</v>
      </c>
      <c r="D21" s="26">
        <v>1119170.52</v>
      </c>
      <c r="E21" s="26">
        <v>87751090.980000004</v>
      </c>
      <c r="F21" s="26">
        <v>6959310.3099999977</v>
      </c>
      <c r="G21" s="30"/>
      <c r="H21" s="27">
        <v>895</v>
      </c>
      <c r="I21" s="26">
        <v>259.19219031657349</v>
      </c>
      <c r="J21" s="26"/>
      <c r="K21" s="30"/>
      <c r="L21" s="27">
        <v>29</v>
      </c>
      <c r="M21" s="26">
        <v>5474176</v>
      </c>
      <c r="N21" s="26">
        <v>125630</v>
      </c>
      <c r="O21" s="26">
        <v>866130.07</v>
      </c>
      <c r="P21" s="30"/>
      <c r="Q21" s="27">
        <v>6</v>
      </c>
      <c r="R21" s="26">
        <v>54209</v>
      </c>
      <c r="S21" s="26"/>
      <c r="T21" s="26">
        <v>828213.5</v>
      </c>
      <c r="U21" s="26">
        <v>44825</v>
      </c>
      <c r="V21" s="30"/>
      <c r="W21" s="26">
        <f t="shared" si="0"/>
        <v>7924474.379999998</v>
      </c>
    </row>
    <row r="22" spans="1:23" x14ac:dyDescent="0.25">
      <c r="A22" s="4">
        <v>44896</v>
      </c>
      <c r="C22" s="26">
        <v>93293108.689999998</v>
      </c>
      <c r="D22" s="26">
        <v>956506.32</v>
      </c>
      <c r="E22" s="26">
        <v>85490525.780000001</v>
      </c>
      <c r="F22" s="26">
        <v>6846076.5900000026</v>
      </c>
      <c r="G22" s="30"/>
      <c r="H22" s="27">
        <v>895</v>
      </c>
      <c r="I22" s="26">
        <v>255</v>
      </c>
      <c r="J22" s="26"/>
      <c r="K22" s="30"/>
      <c r="L22" s="27">
        <v>29</v>
      </c>
      <c r="M22" s="26">
        <v>4850219</v>
      </c>
      <c r="N22" s="26">
        <v>115540</v>
      </c>
      <c r="O22" s="26">
        <v>1166508.3800000001</v>
      </c>
      <c r="P22" s="30"/>
      <c r="Q22" s="27">
        <v>5.806451612903226</v>
      </c>
      <c r="R22" s="26">
        <v>46929</v>
      </c>
      <c r="S22" s="26"/>
      <c r="T22" s="26">
        <v>843520.25</v>
      </c>
      <c r="U22" s="26">
        <v>-48119.75</v>
      </c>
      <c r="V22" s="30"/>
      <c r="W22" s="26">
        <f t="shared" si="0"/>
        <v>8011394.2200000025</v>
      </c>
    </row>
    <row r="23" spans="1:23" x14ac:dyDescent="0.25">
      <c r="A23" s="4">
        <v>44927</v>
      </c>
      <c r="C23" s="26">
        <v>101948660.59000002</v>
      </c>
      <c r="D23" s="26">
        <v>1148200.8600000001</v>
      </c>
      <c r="E23" s="26">
        <v>93214238.069999993</v>
      </c>
      <c r="F23" s="26">
        <v>7586221.6599999974</v>
      </c>
      <c r="G23" s="30">
        <v>895</v>
      </c>
      <c r="H23" s="27">
        <v>894.53</v>
      </c>
      <c r="I23" s="26">
        <v>273</v>
      </c>
      <c r="J23" s="26"/>
      <c r="K23" s="30"/>
      <c r="L23" s="27">
        <v>29</v>
      </c>
      <c r="M23" s="26">
        <v>4969002</v>
      </c>
      <c r="N23" s="26">
        <v>135660</v>
      </c>
      <c r="O23" s="26">
        <v>896158.08</v>
      </c>
      <c r="P23" s="30"/>
      <c r="Q23" s="27">
        <v>6</v>
      </c>
      <c r="R23" s="26">
        <v>55679</v>
      </c>
      <c r="S23" s="26"/>
      <c r="T23" s="26">
        <v>739583</v>
      </c>
      <c r="U23" s="26">
        <v>115179.5</v>
      </c>
      <c r="V23" s="30"/>
      <c r="W23" s="26">
        <f t="shared" si="0"/>
        <v>8653238.2399999965</v>
      </c>
    </row>
    <row r="24" spans="1:23" x14ac:dyDescent="0.25">
      <c r="A24" s="4">
        <v>44958</v>
      </c>
      <c r="C24" s="26">
        <v>101245984.95999999</v>
      </c>
      <c r="D24" s="26">
        <v>1164839.57</v>
      </c>
      <c r="E24" s="26">
        <v>92187870.319999993</v>
      </c>
      <c r="F24" s="26">
        <v>7893275.0700000022</v>
      </c>
      <c r="G24" s="30"/>
      <c r="H24" s="27">
        <v>895</v>
      </c>
      <c r="I24" s="26">
        <v>314.97506264964096</v>
      </c>
      <c r="J24" s="26"/>
      <c r="K24" s="30"/>
      <c r="L24" s="27">
        <v>29</v>
      </c>
      <c r="M24" s="26">
        <v>4889254</v>
      </c>
      <c r="N24" s="26">
        <v>130785</v>
      </c>
      <c r="O24" s="26">
        <v>1007069.95</v>
      </c>
      <c r="P24" s="30"/>
      <c r="Q24" s="27">
        <v>6</v>
      </c>
      <c r="R24" s="26">
        <v>55143</v>
      </c>
      <c r="S24" s="26"/>
      <c r="T24" s="26">
        <v>556320</v>
      </c>
      <c r="U24" s="26">
        <v>-45142</v>
      </c>
      <c r="V24" s="30"/>
      <c r="W24" s="26">
        <f t="shared" si="0"/>
        <v>8910346.0200000014</v>
      </c>
    </row>
    <row r="25" spans="1:23" x14ac:dyDescent="0.25">
      <c r="A25" s="4">
        <v>44986</v>
      </c>
      <c r="C25" s="26">
        <v>113394657.11000001</v>
      </c>
      <c r="D25" s="26">
        <v>1268938.1599999999</v>
      </c>
      <c r="E25" s="26">
        <v>103632670.7</v>
      </c>
      <c r="F25" s="26">
        <v>8493048.2500000019</v>
      </c>
      <c r="G25" s="30"/>
      <c r="H25" s="27">
        <v>895</v>
      </c>
      <c r="I25" s="26">
        <v>306.11094791854396</v>
      </c>
      <c r="J25" s="26"/>
      <c r="K25" s="30"/>
      <c r="L25" s="27">
        <v>29</v>
      </c>
      <c r="M25" s="26">
        <v>5652120</v>
      </c>
      <c r="N25" s="26">
        <v>153255</v>
      </c>
      <c r="O25" s="26">
        <v>1168096.1199999999</v>
      </c>
      <c r="P25" s="30"/>
      <c r="Q25" s="27">
        <v>6</v>
      </c>
      <c r="R25" s="26">
        <v>57295</v>
      </c>
      <c r="S25" s="26"/>
      <c r="T25" s="26">
        <v>504758.75</v>
      </c>
      <c r="U25" s="26">
        <v>-151527.25</v>
      </c>
      <c r="V25" s="30"/>
      <c r="W25" s="26">
        <f t="shared" si="0"/>
        <v>9566912.120000001</v>
      </c>
    </row>
    <row r="26" spans="1:23" ht="15.75" thickBot="1" x14ac:dyDescent="0.3">
      <c r="A26" s="4" t="s">
        <v>28</v>
      </c>
      <c r="C26" s="31">
        <f>SUM(C14:C25)</f>
        <v>1229147074.1700001</v>
      </c>
      <c r="D26" s="31">
        <f t="shared" ref="D26:F26" si="1">SUM(D14:D25)</f>
        <v>13933380.270000001</v>
      </c>
      <c r="E26" s="31">
        <f t="shared" si="1"/>
        <v>1123320577.1499999</v>
      </c>
      <c r="F26" s="31">
        <f t="shared" si="1"/>
        <v>91893116.75</v>
      </c>
      <c r="G26" s="31"/>
      <c r="H26" s="35">
        <v>894.61</v>
      </c>
      <c r="I26" s="31">
        <f>F26/H26/364</f>
        <v>282.19404818306856</v>
      </c>
      <c r="J26" s="33"/>
      <c r="K26" s="34"/>
      <c r="L26" s="35">
        <v>28.6</v>
      </c>
      <c r="M26" s="31">
        <f>SUM(M14:M25)</f>
        <v>62564215</v>
      </c>
      <c r="N26" s="31">
        <f>SUM(N14:N25)</f>
        <v>1619870</v>
      </c>
      <c r="O26" s="31">
        <f>SUM(O14:O25)</f>
        <v>12029413.01</v>
      </c>
      <c r="P26" s="33"/>
      <c r="Q26" s="32">
        <v>6</v>
      </c>
      <c r="R26" s="31">
        <f>SUM(R14:R25)</f>
        <v>631183</v>
      </c>
      <c r="S26" s="33"/>
      <c r="T26" s="31">
        <f>SUM(T14:T25)</f>
        <v>7077748</v>
      </c>
      <c r="U26" s="31">
        <f>SUM(U14:U25)</f>
        <v>512681</v>
      </c>
      <c r="V26" s="33"/>
      <c r="W26" s="31">
        <f>SUM(W14:W25)</f>
        <v>105066393.75999999</v>
      </c>
    </row>
    <row r="27" spans="1:23" ht="10.5" customHeight="1" thickTop="1" x14ac:dyDescent="0.25">
      <c r="C27" s="36"/>
      <c r="D27" s="36"/>
      <c r="E27" s="36"/>
      <c r="F27" s="36"/>
      <c r="G27" s="36"/>
      <c r="H27" s="36"/>
      <c r="L27" s="38"/>
      <c r="M27" s="36"/>
      <c r="N27" s="36"/>
      <c r="O27" s="36"/>
      <c r="P27" s="36"/>
      <c r="Q27" s="38"/>
      <c r="R27" s="36"/>
      <c r="S27" s="36"/>
      <c r="T27" s="36"/>
      <c r="U27" s="36"/>
    </row>
    <row r="28" spans="1:23" s="42" customFormat="1" x14ac:dyDescent="0.25">
      <c r="A28" s="39"/>
      <c r="B28" s="39"/>
      <c r="C28" s="40"/>
      <c r="D28" s="41">
        <f>D26/$C$26</f>
        <v>1.1335812095073101E-2</v>
      </c>
      <c r="E28" s="41">
        <f>E26/$C$26</f>
        <v>0.91390249446636718</v>
      </c>
      <c r="F28" s="41">
        <f>F26/$C$26</f>
        <v>7.4761693438559582E-2</v>
      </c>
      <c r="G28" s="41"/>
      <c r="H28" s="40"/>
      <c r="L28" s="40"/>
      <c r="M28" s="40"/>
      <c r="N28" s="40"/>
      <c r="O28" s="40"/>
      <c r="P28" s="40"/>
      <c r="Q28" s="40"/>
      <c r="R28" s="40"/>
      <c r="S28" s="40"/>
      <c r="T28" s="40"/>
      <c r="U28" s="40"/>
    </row>
    <row r="29" spans="1:23" s="42" customFormat="1" x14ac:dyDescent="0.25">
      <c r="A29" s="39"/>
      <c r="B29" s="39"/>
      <c r="C29" s="40"/>
      <c r="D29" s="40"/>
      <c r="E29" s="40"/>
      <c r="F29" s="40"/>
      <c r="G29" s="40"/>
      <c r="H29" s="40"/>
      <c r="L29" s="40"/>
      <c r="M29" s="40"/>
      <c r="N29" s="40"/>
      <c r="O29" s="40"/>
      <c r="P29" s="40"/>
      <c r="Q29" s="40"/>
      <c r="R29" s="40"/>
      <c r="S29" s="40"/>
      <c r="T29" s="40"/>
      <c r="U29" s="40"/>
    </row>
    <row r="30" spans="1:23" s="42" customFormat="1" x14ac:dyDescent="0.25">
      <c r="A30" s="83" t="s">
        <v>29</v>
      </c>
      <c r="B30" s="84"/>
      <c r="C30" s="84"/>
      <c r="D30" s="84"/>
      <c r="E30" s="84"/>
      <c r="F30" s="84"/>
      <c r="G30" s="84"/>
      <c r="H30" s="84"/>
      <c r="I30" s="84"/>
      <c r="J30" s="84"/>
      <c r="K30" s="84"/>
      <c r="L30" s="84"/>
      <c r="M30" s="84"/>
      <c r="N30" s="84"/>
      <c r="O30" s="84"/>
      <c r="P30" s="84"/>
      <c r="Q30" s="84"/>
      <c r="R30" s="84"/>
      <c r="S30" s="84"/>
      <c r="T30" s="84"/>
      <c r="U30" s="84"/>
      <c r="V30" s="84"/>
      <c r="W30" s="85"/>
    </row>
    <row r="31" spans="1:23" s="44" customFormat="1" x14ac:dyDescent="0.25">
      <c r="A31" s="43"/>
      <c r="B31" s="43"/>
      <c r="C31" s="43"/>
      <c r="D31" s="43"/>
      <c r="E31" s="43"/>
      <c r="F31" s="43"/>
      <c r="G31" s="43"/>
      <c r="H31" s="43"/>
      <c r="I31" s="43"/>
      <c r="J31" s="43"/>
      <c r="K31" s="43"/>
      <c r="L31" s="43"/>
      <c r="M31" s="43"/>
      <c r="N31" s="43"/>
      <c r="O31" s="43"/>
      <c r="P31" s="43"/>
      <c r="Q31" s="43"/>
      <c r="R31" s="43"/>
      <c r="S31" s="43"/>
      <c r="T31" s="43"/>
      <c r="U31" s="43"/>
    </row>
    <row r="32" spans="1:23" s="44" customFormat="1" x14ac:dyDescent="0.25">
      <c r="A32" s="43"/>
      <c r="B32" s="43"/>
      <c r="C32" s="43"/>
      <c r="D32" s="43"/>
      <c r="E32" s="43"/>
      <c r="F32" s="43"/>
      <c r="G32" s="43"/>
      <c r="H32" s="94" t="s">
        <v>30</v>
      </c>
      <c r="I32" s="95"/>
      <c r="J32" s="95"/>
      <c r="K32" s="95"/>
      <c r="L32" s="95"/>
      <c r="M32" s="95"/>
      <c r="N32" s="95"/>
      <c r="O32" s="95"/>
      <c r="P32" s="95"/>
      <c r="Q32" s="96"/>
      <c r="R32" s="45"/>
      <c r="S32" s="45"/>
      <c r="T32" s="45"/>
      <c r="U32" s="45"/>
    </row>
    <row r="33" spans="1:23" s="46" customFormat="1" ht="12" x14ac:dyDescent="0.2">
      <c r="H33" s="16" t="s">
        <v>31</v>
      </c>
      <c r="I33" s="16" t="s">
        <v>32</v>
      </c>
      <c r="J33" s="16" t="s">
        <v>33</v>
      </c>
      <c r="M33" s="47"/>
      <c r="N33" s="47"/>
      <c r="O33" s="47"/>
      <c r="P33" s="47"/>
      <c r="Q33" s="47"/>
      <c r="R33" s="47"/>
      <c r="S33" s="47"/>
      <c r="T33" s="47"/>
      <c r="U33" s="47"/>
    </row>
    <row r="34" spans="1:23" s="46" customFormat="1" ht="12.75" customHeight="1" x14ac:dyDescent="0.2">
      <c r="C34" s="16" t="s">
        <v>34</v>
      </c>
      <c r="D34" s="46" t="s">
        <v>10</v>
      </c>
      <c r="E34" s="46" t="s">
        <v>35</v>
      </c>
      <c r="F34" s="46" t="s">
        <v>36</v>
      </c>
      <c r="H34" s="16" t="s">
        <v>37</v>
      </c>
      <c r="I34" s="16" t="s">
        <v>38</v>
      </c>
      <c r="J34" s="16" t="s">
        <v>39</v>
      </c>
      <c r="L34" s="90" t="s">
        <v>40</v>
      </c>
      <c r="M34" s="90"/>
      <c r="N34" s="90"/>
      <c r="O34" s="90"/>
      <c r="P34" s="90"/>
      <c r="Q34" s="90"/>
      <c r="R34" s="48"/>
      <c r="S34" s="48"/>
      <c r="T34" s="48"/>
      <c r="U34" s="48"/>
    </row>
    <row r="35" spans="1:23" s="46" customFormat="1" ht="12" x14ac:dyDescent="0.2">
      <c r="C35" s="23" t="s">
        <v>41</v>
      </c>
      <c r="D35" s="74" t="s">
        <v>42</v>
      </c>
      <c r="E35" s="74" t="s">
        <v>43</v>
      </c>
      <c r="F35" s="74" t="s">
        <v>44</v>
      </c>
      <c r="G35" s="47"/>
      <c r="H35" s="23" t="s">
        <v>45</v>
      </c>
      <c r="I35" s="23" t="s">
        <v>46</v>
      </c>
      <c r="J35" s="23" t="s">
        <v>47</v>
      </c>
      <c r="K35" s="74"/>
      <c r="L35" s="74" t="s">
        <v>48</v>
      </c>
      <c r="M35" s="74" t="s">
        <v>49</v>
      </c>
      <c r="N35" s="74" t="s">
        <v>50</v>
      </c>
      <c r="O35" s="74" t="s">
        <v>51</v>
      </c>
      <c r="P35" s="50"/>
      <c r="Q35" s="74" t="s">
        <v>52</v>
      </c>
    </row>
    <row r="36" spans="1:23" s="42" customFormat="1" x14ac:dyDescent="0.25">
      <c r="A36" s="4">
        <v>44652</v>
      </c>
      <c r="B36" s="39"/>
      <c r="C36" s="36">
        <f>(F14*0.655)+(O14+R14+U14)*0.9</f>
        <v>6517013.5134500014</v>
      </c>
      <c r="D36" s="36">
        <f>(F14*0.345)+(O14+R14+U14)*0.1</f>
        <v>3006947.4765500007</v>
      </c>
      <c r="E36" s="26">
        <v>10405.689999999999</v>
      </c>
      <c r="F36" s="26">
        <v>0</v>
      </c>
      <c r="H36" s="36">
        <f>F14*0.345*0.8+(O14+R14+U14)*0.1*0.8+((E36+F36)*0.8)</f>
        <v>2413882.5332400007</v>
      </c>
      <c r="I36" s="36">
        <f>F14*0.345*0.05+(O14+R14+U14)*0.1*0.05+((E36+F36)*0.05)</f>
        <v>150867.65832750004</v>
      </c>
      <c r="J36" s="36">
        <f>F14*0.345*0.05+(O14+R14+U14)*0.1*0.05+((E36+F36)*0.05)</f>
        <v>150867.65832750004</v>
      </c>
      <c r="L36" s="36">
        <f>(F14*0.345*0.1+(O14+R14+U14)*0.1*0.1)*198683/372282+((E36+F36)*0.1*198683/372282)</f>
        <v>161032.97478515044</v>
      </c>
      <c r="M36" s="36">
        <f>(F14*0.345*0.1+(O14+R14+U14)*0.1*0.1)*38867/372282+((E36+F36)*0.1*38867/372282)</f>
        <v>31501.782391923025</v>
      </c>
      <c r="N36" s="36">
        <f>(F14*0.345*0.1+(O14+R14+U14)*0.1*0.1)*9808/372282+((E36+F36)*0.1*9808/372282)</f>
        <v>7949.4039081992705</v>
      </c>
      <c r="O36" s="36">
        <f>(F14*0.345*0.1+(O14+R14+U14)*0.1*0.1)*105740/372282+((E36+F36)*0.1*105740/372282)</f>
        <v>85702.484630198902</v>
      </c>
      <c r="Q36" s="36">
        <f>(F14*0.345*0.1+(O14+R14+U14)*0.1*0.1)*19184/372282+((E36+F36)*0.1*19184/372282)</f>
        <v>15548.670939528425</v>
      </c>
    </row>
    <row r="37" spans="1:23" s="42" customFormat="1" x14ac:dyDescent="0.25">
      <c r="A37" s="4">
        <v>44682</v>
      </c>
      <c r="B37" s="39"/>
      <c r="C37" s="36">
        <f t="shared" ref="C37:C47" si="2">(F15*0.655)+(O15+R15+U15)*0.9</f>
        <v>6023228.1135000009</v>
      </c>
      <c r="D37" s="36">
        <f t="shared" ref="D37:D47" si="3">(F15*0.345)+(O15+R15+U15)*0.1</f>
        <v>2710537.0164999999</v>
      </c>
      <c r="E37" s="26">
        <v>7796.8</v>
      </c>
      <c r="F37" s="26">
        <v>0</v>
      </c>
      <c r="H37" s="36">
        <f t="shared" ref="H37:H47" si="4">F15*0.345*0.8+(O15+R15+U15)*0.1*0.8+((E37+F37)*0.8)</f>
        <v>2174667.0532</v>
      </c>
      <c r="I37" s="36">
        <f t="shared" ref="I37:I47" si="5">F15*0.345*0.05+(O15+R15+U15)*0.1*0.05+((E37+F37)*0.05)</f>
        <v>135916.690825</v>
      </c>
      <c r="J37" s="36">
        <f t="shared" ref="J37:J47" si="6">F15*0.345*0.05+(O15+R15+U15)*0.1*0.05+((E37+F37)*0.05)</f>
        <v>135916.690825</v>
      </c>
      <c r="L37" s="36">
        <f t="shared" ref="L37:L47" si="7">(F15*0.345*0.1+(O15+R15+U15)*0.1*0.1)*198683/372282+((E37+F37)*0.1*198683/372282)</f>
        <v>145074.6255966363</v>
      </c>
      <c r="M37" s="36">
        <f t="shared" ref="M37:M47" si="8">(F15*0.345*0.1+(O15+R15+U15)*0.1*0.1)*38867/372282+((E37+F37)*0.1*38867/372282)</f>
        <v>28379.959397957864</v>
      </c>
      <c r="N37" s="36">
        <f t="shared" ref="N37:N47" si="9">(F15*0.345*0.1+(O15+R15+U15)*0.1*0.1)*9808/372282+((E37+F37)*0.1*9808/372282)</f>
        <v>7161.6188997136587</v>
      </c>
      <c r="O37" s="36">
        <f t="shared" ref="O37:O47" si="10">(F15*0.345*0.1+(O15+R15+U15)*0.1*0.1)*105740/372282+((E37+F37)*0.1*105740/372282)</f>
        <v>77209.37830910708</v>
      </c>
      <c r="Q37" s="36">
        <f t="shared" ref="Q37:Q47" si="11">(F15*0.345*0.1+(O15+R15+U15)*0.1*0.1)*19184/372282+((E37+F37)*0.1*19184/372282)</f>
        <v>14007.799446585115</v>
      </c>
      <c r="V37" s="28"/>
      <c r="W37" s="28"/>
    </row>
    <row r="38" spans="1:23" s="42" customFormat="1" x14ac:dyDescent="0.25">
      <c r="A38" s="4">
        <v>44713</v>
      </c>
      <c r="B38" s="39"/>
      <c r="C38" s="36">
        <f t="shared" si="2"/>
        <v>5438848.813699998</v>
      </c>
      <c r="D38" s="36">
        <f t="shared" si="3"/>
        <v>2621565.3962999987</v>
      </c>
      <c r="E38" s="26">
        <v>9510.42</v>
      </c>
      <c r="F38" s="26">
        <v>0</v>
      </c>
      <c r="H38" s="36">
        <f t="shared" si="4"/>
        <v>2104860.6530399993</v>
      </c>
      <c r="I38" s="36">
        <f t="shared" si="5"/>
        <v>131553.79081499996</v>
      </c>
      <c r="J38" s="36">
        <f t="shared" si="6"/>
        <v>131553.79081499996</v>
      </c>
      <c r="L38" s="36">
        <f t="shared" si="7"/>
        <v>140417.7576165199</v>
      </c>
      <c r="M38" s="36">
        <f t="shared" si="8"/>
        <v>27468.968081221239</v>
      </c>
      <c r="N38" s="36">
        <f t="shared" si="9"/>
        <v>6931.7322906480549</v>
      </c>
      <c r="O38" s="36">
        <f t="shared" si="10"/>
        <v>74730.971901827608</v>
      </c>
      <c r="Q38" s="36">
        <f t="shared" si="11"/>
        <v>13558.151739783063</v>
      </c>
      <c r="V38" s="28"/>
      <c r="W38" s="28"/>
    </row>
    <row r="39" spans="1:23" s="42" customFormat="1" x14ac:dyDescent="0.25">
      <c r="A39" s="4">
        <v>44743</v>
      </c>
      <c r="B39" s="39"/>
      <c r="C39" s="36">
        <f t="shared" si="2"/>
        <v>6267116.0449500019</v>
      </c>
      <c r="D39" s="36">
        <f t="shared" si="3"/>
        <v>2949090.5450500008</v>
      </c>
      <c r="E39" s="26">
        <v>12044.960000000001</v>
      </c>
      <c r="F39" s="26">
        <v>0</v>
      </c>
      <c r="H39" s="36">
        <f t="shared" si="4"/>
        <v>2368908.4040400009</v>
      </c>
      <c r="I39" s="36">
        <f t="shared" si="5"/>
        <v>148056.77525250005</v>
      </c>
      <c r="J39" s="36">
        <f t="shared" si="6"/>
        <v>148056.77525250005</v>
      </c>
      <c r="L39" s="36">
        <f t="shared" si="7"/>
        <v>158032.69713546435</v>
      </c>
      <c r="M39" s="36">
        <f t="shared" si="8"/>
        <v>30914.858541315025</v>
      </c>
      <c r="N39" s="36">
        <f t="shared" si="9"/>
        <v>7801.2949950656794</v>
      </c>
      <c r="O39" s="36">
        <f t="shared" si="10"/>
        <v>84105.723162545357</v>
      </c>
      <c r="Q39" s="36">
        <f t="shared" si="11"/>
        <v>15258.976670609705</v>
      </c>
      <c r="V39" s="28"/>
      <c r="W39" s="28"/>
    </row>
    <row r="40" spans="1:23" s="42" customFormat="1" x14ac:dyDescent="0.25">
      <c r="A40" s="4">
        <v>44774</v>
      </c>
      <c r="B40" s="39"/>
      <c r="C40" s="36">
        <f t="shared" si="2"/>
        <v>6161399.4728499996</v>
      </c>
      <c r="D40" s="36">
        <f t="shared" si="3"/>
        <v>2747074.9671499995</v>
      </c>
      <c r="E40" s="26">
        <v>8528.93</v>
      </c>
      <c r="F40" s="26">
        <v>0</v>
      </c>
      <c r="H40" s="36">
        <f t="shared" si="4"/>
        <v>2204483.1177199995</v>
      </c>
      <c r="I40" s="36">
        <f t="shared" si="5"/>
        <v>137780.19485749997</v>
      </c>
      <c r="J40" s="36">
        <f t="shared" si="6"/>
        <v>137780.19485749997</v>
      </c>
      <c r="L40" s="36">
        <f t="shared" si="7"/>
        <v>147063.69072301465</v>
      </c>
      <c r="M40" s="36">
        <f t="shared" si="8"/>
        <v>28769.066640484642</v>
      </c>
      <c r="N40" s="36">
        <f t="shared" si="9"/>
        <v>7259.8092368815023</v>
      </c>
      <c r="O40" s="36">
        <f t="shared" si="10"/>
        <v>78267.967853573631</v>
      </c>
      <c r="Q40" s="36">
        <f t="shared" si="11"/>
        <v>14199.85526104555</v>
      </c>
      <c r="V40" s="28"/>
      <c r="W40" s="28"/>
    </row>
    <row r="41" spans="1:23" s="42" customFormat="1" x14ac:dyDescent="0.25">
      <c r="A41" s="4">
        <v>44805</v>
      </c>
      <c r="B41" s="39"/>
      <c r="C41" s="36">
        <f t="shared" si="2"/>
        <v>6073094.5244499994</v>
      </c>
      <c r="D41" s="36">
        <f t="shared" si="3"/>
        <v>2702230.1355499998</v>
      </c>
      <c r="E41" s="26">
        <v>13948.55</v>
      </c>
      <c r="F41" s="26">
        <v>-1557.29</v>
      </c>
      <c r="G41" s="30"/>
      <c r="H41" s="36">
        <f t="shared" si="4"/>
        <v>2171697.1164399995</v>
      </c>
      <c r="I41" s="36">
        <f t="shared" si="5"/>
        <v>135731.06977749997</v>
      </c>
      <c r="J41" s="36">
        <f t="shared" si="6"/>
        <v>135731.06977749997</v>
      </c>
      <c r="L41" s="36">
        <f t="shared" si="7"/>
        <v>144876.49758303131</v>
      </c>
      <c r="M41" s="36">
        <f t="shared" si="8"/>
        <v>28341.200966160555</v>
      </c>
      <c r="N41" s="36">
        <f t="shared" si="9"/>
        <v>7151.8382966553299</v>
      </c>
      <c r="O41" s="36">
        <f t="shared" si="10"/>
        <v>77103.93367540116</v>
      </c>
      <c r="Q41" s="36">
        <f t="shared" si="11"/>
        <v>13988.669033751614</v>
      </c>
      <c r="V41" s="28"/>
      <c r="W41" s="28"/>
    </row>
    <row r="42" spans="1:23" s="42" customFormat="1" x14ac:dyDescent="0.25">
      <c r="A42" s="4">
        <v>44835</v>
      </c>
      <c r="B42" s="39"/>
      <c r="C42" s="36">
        <f t="shared" si="2"/>
        <v>6061105.1259499993</v>
      </c>
      <c r="D42" s="36">
        <f t="shared" si="3"/>
        <v>2720777.6340499991</v>
      </c>
      <c r="E42" s="26">
        <v>11918.16</v>
      </c>
      <c r="F42" s="26">
        <v>-2443.8000000000002</v>
      </c>
      <c r="G42" s="30"/>
      <c r="H42" s="36">
        <f t="shared" si="4"/>
        <v>2184201.5952399988</v>
      </c>
      <c r="I42" s="36">
        <f t="shared" si="5"/>
        <v>136512.59970249992</v>
      </c>
      <c r="J42" s="36">
        <f t="shared" si="6"/>
        <v>136512.59970249992</v>
      </c>
      <c r="L42" s="36">
        <f t="shared" si="7"/>
        <v>145710.6862361962</v>
      </c>
      <c r="M42" s="36">
        <f t="shared" si="8"/>
        <v>28504.387602070819</v>
      </c>
      <c r="N42" s="36">
        <f t="shared" si="9"/>
        <v>7193.0180770605048</v>
      </c>
      <c r="O42" s="36">
        <f t="shared" si="10"/>
        <v>77547.892686416977</v>
      </c>
      <c r="Q42" s="36">
        <f t="shared" si="11"/>
        <v>14069.214803255372</v>
      </c>
      <c r="V42" s="28"/>
      <c r="W42" s="28"/>
    </row>
    <row r="43" spans="1:23" s="42" customFormat="1" x14ac:dyDescent="0.25">
      <c r="A43" s="4">
        <v>44866</v>
      </c>
      <c r="B43" s="39"/>
      <c r="C43" s="36">
        <f t="shared" si="2"/>
        <v>5426995.9160499983</v>
      </c>
      <c r="D43" s="36">
        <f t="shared" si="3"/>
        <v>2497478.4639499993</v>
      </c>
      <c r="E43" s="26">
        <v>14245.66</v>
      </c>
      <c r="F43" s="26">
        <v>0</v>
      </c>
      <c r="G43" s="30"/>
      <c r="H43" s="36">
        <f t="shared" si="4"/>
        <v>2009379.2991599992</v>
      </c>
      <c r="I43" s="36">
        <f t="shared" si="5"/>
        <v>125586.20619749995</v>
      </c>
      <c r="J43" s="36">
        <f t="shared" si="6"/>
        <v>125586.20619749995</v>
      </c>
      <c r="L43" s="36">
        <f t="shared" si="7"/>
        <v>134048.08293679458</v>
      </c>
      <c r="M43" s="36">
        <f t="shared" si="8"/>
        <v>26222.912073526149</v>
      </c>
      <c r="N43" s="36">
        <f t="shared" si="9"/>
        <v>6617.2928607081712</v>
      </c>
      <c r="O43" s="36">
        <f t="shared" si="10"/>
        <v>71341.001946501012</v>
      </c>
      <c r="Q43" s="36">
        <f t="shared" si="11"/>
        <v>12943.122577469978</v>
      </c>
      <c r="V43" s="28"/>
      <c r="W43" s="28"/>
    </row>
    <row r="44" spans="1:23" s="42" customFormat="1" x14ac:dyDescent="0.25">
      <c r="A44" s="4">
        <v>44896</v>
      </c>
      <c r="B44" s="39"/>
      <c r="C44" s="36">
        <f t="shared" si="2"/>
        <v>5532966.0334500019</v>
      </c>
      <c r="D44" s="36">
        <f t="shared" si="3"/>
        <v>2478428.1865500007</v>
      </c>
      <c r="E44" s="26">
        <v>11583.27</v>
      </c>
      <c r="F44" s="26">
        <v>0</v>
      </c>
      <c r="G44" s="30"/>
      <c r="H44" s="36">
        <f t="shared" si="4"/>
        <v>1992009.1652400007</v>
      </c>
      <c r="I44" s="36">
        <f t="shared" si="5"/>
        <v>124500.57282750004</v>
      </c>
      <c r="J44" s="36">
        <f t="shared" si="6"/>
        <v>124500.57282750004</v>
      </c>
      <c r="L44" s="36">
        <f t="shared" si="7"/>
        <v>132889.30064352395</v>
      </c>
      <c r="M44" s="36">
        <f t="shared" si="8"/>
        <v>25996.22739797489</v>
      </c>
      <c r="N44" s="36">
        <f t="shared" si="9"/>
        <v>6560.0894928689568</v>
      </c>
      <c r="O44" s="36">
        <f t="shared" si="10"/>
        <v>70724.292717777687</v>
      </c>
      <c r="Q44" s="36">
        <f t="shared" si="11"/>
        <v>12831.235402854616</v>
      </c>
      <c r="V44" s="28"/>
      <c r="W44" s="28"/>
    </row>
    <row r="45" spans="1:23" s="42" customFormat="1" x14ac:dyDescent="0.25">
      <c r="A45" s="4">
        <v>44927</v>
      </c>
      <c r="B45" s="39"/>
      <c r="C45" s="36">
        <f t="shared" si="2"/>
        <v>5929290.1092999987</v>
      </c>
      <c r="D45" s="36">
        <f t="shared" si="3"/>
        <v>2723948.1306999987</v>
      </c>
      <c r="E45" s="26">
        <v>16312.949999999999</v>
      </c>
      <c r="F45" s="26">
        <v>0</v>
      </c>
      <c r="G45" s="30"/>
      <c r="H45" s="36">
        <f t="shared" si="4"/>
        <v>2192208.8645599992</v>
      </c>
      <c r="I45" s="36">
        <f t="shared" si="5"/>
        <v>137013.05403499995</v>
      </c>
      <c r="J45" s="36">
        <f t="shared" si="6"/>
        <v>137013.05403499995</v>
      </c>
      <c r="L45" s="36">
        <f t="shared" si="7"/>
        <v>146244.8606961169</v>
      </c>
      <c r="M45" s="36">
        <f t="shared" si="8"/>
        <v>28608.884507864164</v>
      </c>
      <c r="N45" s="36">
        <f t="shared" si="9"/>
        <v>7219.3876361214325</v>
      </c>
      <c r="O45" s="36">
        <f t="shared" si="10"/>
        <v>77832.182773601162</v>
      </c>
      <c r="Q45" s="36">
        <f t="shared" si="11"/>
        <v>14120.792456296243</v>
      </c>
      <c r="V45" s="28"/>
      <c r="W45" s="28"/>
    </row>
    <row r="46" spans="1:23" s="42" customFormat="1" x14ac:dyDescent="0.25">
      <c r="A46" s="4">
        <v>44958</v>
      </c>
      <c r="B46" s="39"/>
      <c r="C46" s="36">
        <f t="shared" si="2"/>
        <v>6085459.0258500017</v>
      </c>
      <c r="D46" s="36">
        <f t="shared" si="3"/>
        <v>2824886.9941500006</v>
      </c>
      <c r="E46" s="26">
        <v>8759.56</v>
      </c>
      <c r="F46" s="26">
        <v>0</v>
      </c>
      <c r="G46" s="30"/>
      <c r="H46" s="36">
        <f t="shared" si="4"/>
        <v>2266917.2433200004</v>
      </c>
      <c r="I46" s="36">
        <f t="shared" si="5"/>
        <v>141682.32770750002</v>
      </c>
      <c r="J46" s="36">
        <f t="shared" si="6"/>
        <v>141682.32770750002</v>
      </c>
      <c r="L46" s="36">
        <f t="shared" si="7"/>
        <v>151228.74549889183</v>
      </c>
      <c r="M46" s="36">
        <f t="shared" si="8"/>
        <v>29583.847894915165</v>
      </c>
      <c r="N46" s="36">
        <f t="shared" si="9"/>
        <v>7465.4174531949448</v>
      </c>
      <c r="O46" s="36">
        <f t="shared" si="10"/>
        <v>80484.62902740961</v>
      </c>
      <c r="Q46" s="36">
        <f t="shared" si="11"/>
        <v>14602.015540588482</v>
      </c>
      <c r="V46" s="28"/>
      <c r="W46" s="28"/>
    </row>
    <row r="47" spans="1:23" s="42" customFormat="1" x14ac:dyDescent="0.25">
      <c r="A47" s="4">
        <v>44986</v>
      </c>
      <c r="B47" s="39"/>
      <c r="C47" s="36">
        <f t="shared" si="2"/>
        <v>6529424.0867500016</v>
      </c>
      <c r="D47" s="36">
        <f t="shared" si="3"/>
        <v>3037488.0332500003</v>
      </c>
      <c r="E47" s="26">
        <v>9513.65</v>
      </c>
      <c r="F47" s="26">
        <v>0</v>
      </c>
      <c r="G47" s="30"/>
      <c r="H47" s="36">
        <f t="shared" si="4"/>
        <v>2437601.3466000003</v>
      </c>
      <c r="I47" s="36">
        <f t="shared" si="5"/>
        <v>152350.08416250002</v>
      </c>
      <c r="J47" s="36">
        <f t="shared" si="6"/>
        <v>152350.08416250002</v>
      </c>
      <c r="L47" s="36">
        <f t="shared" si="7"/>
        <v>162615.28503477466</v>
      </c>
      <c r="M47" s="36">
        <f t="shared" si="8"/>
        <v>31811.318952535381</v>
      </c>
      <c r="N47" s="36">
        <f t="shared" si="9"/>
        <v>8027.5147628185096</v>
      </c>
      <c r="O47" s="36">
        <f t="shared" si="10"/>
        <v>86544.597371577212</v>
      </c>
      <c r="Q47" s="36">
        <f t="shared" si="11"/>
        <v>15701.452203294279</v>
      </c>
      <c r="V47" s="28"/>
      <c r="W47" s="28"/>
    </row>
    <row r="48" spans="1:23" s="42" customFormat="1" ht="15.75" thickBot="1" x14ac:dyDescent="0.3">
      <c r="A48" s="4" t="s">
        <v>28</v>
      </c>
      <c r="B48" s="39"/>
      <c r="C48" s="51">
        <f t="shared" ref="C48:D48" si="12">SUM(C36:C47)</f>
        <v>72045940.780249998</v>
      </c>
      <c r="D48" s="51">
        <f t="shared" si="12"/>
        <v>33020452.97975</v>
      </c>
      <c r="E48" s="31">
        <f>SUM(E36:E47)</f>
        <v>134568.6</v>
      </c>
      <c r="F48" s="31">
        <f>SUM(F36:F47)</f>
        <v>-4001.09</v>
      </c>
      <c r="G48" s="36"/>
      <c r="H48" s="51">
        <f>SUM(H36:H47)</f>
        <v>26520816.391800001</v>
      </c>
      <c r="I48" s="51">
        <f t="shared" ref="I48:Q48" si="13">SUM(I36:I47)</f>
        <v>1657551.0244875001</v>
      </c>
      <c r="J48" s="51">
        <f t="shared" si="13"/>
        <v>1657551.0244875001</v>
      </c>
      <c r="K48" s="51"/>
      <c r="L48" s="51">
        <f t="shared" si="13"/>
        <v>1769235.2044861149</v>
      </c>
      <c r="M48" s="51">
        <f t="shared" si="13"/>
        <v>346103.41444794898</v>
      </c>
      <c r="N48" s="51">
        <f t="shared" si="13"/>
        <v>87338.417909936019</v>
      </c>
      <c r="O48" s="51">
        <f t="shared" si="13"/>
        <v>941595.0560559372</v>
      </c>
      <c r="P48" s="51"/>
      <c r="Q48" s="51">
        <f t="shared" si="13"/>
        <v>170829.95607506242</v>
      </c>
      <c r="V48" s="28"/>
      <c r="W48" s="28"/>
    </row>
    <row r="49" spans="1:21" s="42" customFormat="1" ht="15.75" thickTop="1" x14ac:dyDescent="0.25">
      <c r="A49" s="39"/>
      <c r="B49" s="39"/>
      <c r="C49" s="36"/>
      <c r="D49" s="40"/>
      <c r="E49" s="40"/>
      <c r="F49" s="40"/>
      <c r="G49" s="40"/>
      <c r="H49" s="40"/>
      <c r="I49" s="40"/>
      <c r="L49" s="40"/>
      <c r="M49" s="40"/>
      <c r="N49" s="40"/>
      <c r="O49" s="40"/>
      <c r="Q49" s="40"/>
    </row>
    <row r="50" spans="1:21" s="42" customFormat="1" x14ac:dyDescent="0.25">
      <c r="A50" s="39"/>
      <c r="B50" s="39"/>
      <c r="C50" s="40">
        <f>C48/W26</f>
        <v>0.68571822256336668</v>
      </c>
      <c r="D50" s="40">
        <f>D48/W26</f>
        <v>0.31428177743663332</v>
      </c>
      <c r="E50" s="40"/>
      <c r="F50" s="40"/>
      <c r="G50" s="40"/>
      <c r="H50" s="40">
        <f>H48/($D$48+$E$48+$F$48)</f>
        <v>0.8</v>
      </c>
      <c r="I50" s="40">
        <f t="shared" ref="I50:Q50" si="14">I48/($D$48+$E$48+$F$48)</f>
        <v>0.05</v>
      </c>
      <c r="J50" s="40">
        <f t="shared" si="14"/>
        <v>0.05</v>
      </c>
      <c r="K50" s="40"/>
      <c r="L50" s="40">
        <f t="shared" si="14"/>
        <v>5.3368951493760093E-2</v>
      </c>
      <c r="M50" s="40">
        <f t="shared" si="14"/>
        <v>1.0440203931428327E-2</v>
      </c>
      <c r="N50" s="40">
        <f t="shared" si="14"/>
        <v>2.6345619718385524E-3</v>
      </c>
      <c r="O50" s="40">
        <f t="shared" si="14"/>
        <v>2.8403199724939689E-2</v>
      </c>
      <c r="P50" s="40"/>
      <c r="Q50" s="40">
        <f t="shared" si="14"/>
        <v>5.1530828780333177E-3</v>
      </c>
    </row>
    <row r="51" spans="1:21" s="42" customFormat="1" x14ac:dyDescent="0.25">
      <c r="A51" s="39"/>
      <c r="B51" s="39"/>
      <c r="C51" s="40"/>
      <c r="D51" s="40"/>
      <c r="H51" s="40"/>
      <c r="I51" s="40"/>
      <c r="J51" s="40"/>
      <c r="K51" s="40"/>
      <c r="L51" s="40"/>
      <c r="M51" s="40"/>
      <c r="N51" s="40"/>
      <c r="O51" s="40"/>
      <c r="P51" s="40"/>
      <c r="Q51" s="40"/>
      <c r="R51" s="40"/>
      <c r="S51" s="40"/>
      <c r="T51" s="40"/>
      <c r="U51" s="40"/>
    </row>
    <row r="52" spans="1:21" s="42" customFormat="1" x14ac:dyDescent="0.25">
      <c r="A52" s="52" t="s">
        <v>53</v>
      </c>
      <c r="B52" s="39"/>
      <c r="C52" s="40"/>
      <c r="D52" s="40"/>
      <c r="H52" s="40"/>
      <c r="I52" s="40"/>
      <c r="J52" s="40"/>
      <c r="K52" s="40"/>
      <c r="L52" s="40"/>
      <c r="M52" s="40"/>
      <c r="N52" s="40"/>
      <c r="O52" s="40"/>
      <c r="P52" s="40"/>
      <c r="Q52" s="40"/>
      <c r="R52" s="40"/>
      <c r="S52" s="40"/>
      <c r="T52" s="40"/>
      <c r="U52" s="40"/>
    </row>
    <row r="53" spans="1:21" s="42" customFormat="1" x14ac:dyDescent="0.25">
      <c r="A53" s="53" t="s">
        <v>81</v>
      </c>
      <c r="B53" s="39"/>
      <c r="C53" s="40"/>
      <c r="D53" s="40"/>
      <c r="H53" s="40"/>
      <c r="I53" s="40"/>
      <c r="J53" s="40"/>
      <c r="K53" s="40"/>
      <c r="L53" s="40"/>
      <c r="M53" s="40"/>
      <c r="N53" s="40"/>
      <c r="O53" s="40"/>
      <c r="P53" s="40"/>
      <c r="Q53" s="40"/>
      <c r="R53" s="40"/>
      <c r="S53" s="40"/>
      <c r="T53" s="40"/>
      <c r="U53" s="40"/>
    </row>
    <row r="54" spans="1:21" s="42" customFormat="1" x14ac:dyDescent="0.25">
      <c r="A54" s="53" t="s">
        <v>55</v>
      </c>
      <c r="B54" s="39"/>
      <c r="C54" s="40"/>
      <c r="D54" s="40"/>
      <c r="H54" s="40"/>
      <c r="I54" s="40"/>
      <c r="J54" s="40"/>
      <c r="K54" s="40"/>
      <c r="L54" s="40"/>
      <c r="M54" s="40"/>
      <c r="N54" s="40"/>
      <c r="O54" s="40"/>
      <c r="P54" s="40"/>
      <c r="Q54" s="40"/>
      <c r="R54" s="40"/>
      <c r="S54" s="40"/>
      <c r="T54" s="40"/>
      <c r="U54" s="40"/>
    </row>
    <row r="55" spans="1:21" s="42" customFormat="1" x14ac:dyDescent="0.25">
      <c r="A55" s="53" t="s">
        <v>56</v>
      </c>
      <c r="B55" s="39"/>
      <c r="C55" s="40"/>
      <c r="D55" s="40"/>
      <c r="H55" s="40"/>
      <c r="I55" s="40"/>
      <c r="J55" s="40"/>
      <c r="K55" s="40"/>
      <c r="L55" s="40"/>
      <c r="M55" s="40"/>
      <c r="N55" s="40"/>
      <c r="O55" s="40"/>
      <c r="P55" s="40"/>
      <c r="Q55" s="40"/>
      <c r="R55" s="40"/>
      <c r="S55" s="40"/>
      <c r="T55" s="40"/>
      <c r="U55" s="40"/>
    </row>
    <row r="56" spans="1:21" s="42" customFormat="1" x14ac:dyDescent="0.25">
      <c r="A56" s="53"/>
      <c r="B56" s="39"/>
      <c r="C56" s="40"/>
      <c r="D56" s="40"/>
      <c r="H56" s="40"/>
      <c r="I56" s="40"/>
      <c r="J56" s="40"/>
      <c r="K56" s="40"/>
      <c r="L56" s="40"/>
      <c r="M56" s="40"/>
      <c r="N56" s="40"/>
      <c r="O56" s="40"/>
      <c r="P56" s="40"/>
      <c r="Q56" s="40"/>
      <c r="R56" s="40"/>
      <c r="S56" s="40"/>
      <c r="T56" s="40"/>
      <c r="U56" s="40"/>
    </row>
    <row r="57" spans="1:21" s="42" customFormat="1" x14ac:dyDescent="0.25">
      <c r="A57" s="53" t="s">
        <v>57</v>
      </c>
      <c r="B57" s="39"/>
      <c r="C57" s="40"/>
      <c r="D57" s="54"/>
      <c r="H57" s="40"/>
      <c r="I57" s="40"/>
      <c r="J57" s="40"/>
      <c r="K57" s="40"/>
      <c r="L57" s="40"/>
      <c r="M57" s="40"/>
      <c r="N57" s="40"/>
      <c r="O57" s="40"/>
      <c r="P57" s="40"/>
      <c r="Q57" s="40"/>
      <c r="R57" s="40"/>
      <c r="S57" s="40"/>
      <c r="T57" s="40"/>
      <c r="U57" s="40"/>
    </row>
    <row r="59" spans="1:21" s="42" customFormat="1" x14ac:dyDescent="0.25">
      <c r="A59" s="53" t="s">
        <v>58</v>
      </c>
      <c r="B59" s="39"/>
      <c r="C59" s="40"/>
      <c r="D59" s="54"/>
      <c r="H59" s="40"/>
      <c r="I59" s="40"/>
      <c r="J59" s="40"/>
      <c r="K59" s="40"/>
      <c r="L59" s="40"/>
      <c r="M59" s="40"/>
      <c r="N59" s="40"/>
      <c r="O59" s="40"/>
      <c r="P59" s="40"/>
      <c r="Q59" s="40"/>
      <c r="R59" s="40"/>
      <c r="S59" s="40"/>
      <c r="T59" s="40"/>
      <c r="U59" s="40"/>
    </row>
    <row r="60" spans="1:21" s="42" customFormat="1" x14ac:dyDescent="0.25">
      <c r="A60" s="53" t="s">
        <v>73</v>
      </c>
      <c r="B60" s="39"/>
      <c r="C60" s="40"/>
      <c r="D60" s="54"/>
      <c r="H60" s="40"/>
      <c r="I60" s="40"/>
      <c r="J60" s="40"/>
      <c r="K60" s="40"/>
      <c r="L60" s="40"/>
      <c r="M60" s="40"/>
      <c r="N60" s="40"/>
      <c r="O60" s="40"/>
      <c r="P60" s="40"/>
      <c r="Q60" s="40"/>
      <c r="R60" s="40"/>
      <c r="S60" s="40"/>
      <c r="T60" s="40"/>
      <c r="U60" s="40"/>
    </row>
    <row r="62" spans="1:21" x14ac:dyDescent="0.25">
      <c r="A62" s="53" t="s">
        <v>60</v>
      </c>
    </row>
    <row r="63" spans="1:21" x14ac:dyDescent="0.25">
      <c r="A63" s="53"/>
    </row>
    <row r="64" spans="1:21" x14ac:dyDescent="0.25">
      <c r="A64" s="53" t="s">
        <v>74</v>
      </c>
    </row>
    <row r="65" spans="1:15" x14ac:dyDescent="0.25">
      <c r="A65" s="53"/>
      <c r="B65" s="55"/>
      <c r="C65" s="56"/>
      <c r="D65" s="56"/>
      <c r="E65" s="56"/>
      <c r="F65" s="56"/>
      <c r="G65" s="56"/>
      <c r="H65" s="56"/>
      <c r="I65" s="57"/>
      <c r="J65" s="56"/>
      <c r="K65" s="56"/>
      <c r="L65" s="56"/>
      <c r="M65" s="56"/>
      <c r="N65" s="56"/>
      <c r="O65" s="56"/>
    </row>
    <row r="66" spans="1:15" x14ac:dyDescent="0.25">
      <c r="A66" s="65" t="s">
        <v>68</v>
      </c>
    </row>
    <row r="68" spans="1:15" x14ac:dyDescent="0.25">
      <c r="D68" s="58"/>
    </row>
  </sheetData>
  <mergeCells count="13">
    <mergeCell ref="A8:W8"/>
    <mergeCell ref="A1:W1"/>
    <mergeCell ref="A2:W2"/>
    <mergeCell ref="A3:W3"/>
    <mergeCell ref="A4:W4"/>
    <mergeCell ref="A5:W5"/>
    <mergeCell ref="L34:Q34"/>
    <mergeCell ref="C10:I10"/>
    <mergeCell ref="L10:O10"/>
    <mergeCell ref="Q10:R10"/>
    <mergeCell ref="T10:U10"/>
    <mergeCell ref="A30:W30"/>
    <mergeCell ref="H32:Q32"/>
  </mergeCells>
  <hyperlinks>
    <hyperlink ref="A4" r:id="rId1" xr:uid="{B8F25579-9A42-4C62-B34C-FF88DBF2AE2C}"/>
  </hyperlinks>
  <printOptions horizontalCentered="1" verticalCentered="1"/>
  <pageMargins left="0" right="0" top="0.25" bottom="0.25" header="0.3" footer="0.3"/>
  <pageSetup scale="58"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6663-847E-4969-A67A-8D0667D9C622}">
  <sheetPr>
    <pageSetUpPr fitToPage="1"/>
  </sheetPr>
  <dimension ref="A1:W68"/>
  <sheetViews>
    <sheetView topLeftCell="A29" zoomScaleNormal="100" workbookViewId="0">
      <selection activeCell="L47" sqref="L47"/>
    </sheetView>
  </sheetViews>
  <sheetFormatPr defaultRowHeight="15" x14ac:dyDescent="0.25"/>
  <cols>
    <col min="1" max="1" width="9.28515625" style="4" customWidth="1"/>
    <col min="2" max="2" width="1.7109375" style="4" customWidth="1"/>
    <col min="3" max="3" width="14.140625" style="28" customWidth="1"/>
    <col min="4" max="4" width="13.140625" style="28" customWidth="1"/>
    <col min="5" max="5" width="14.140625" style="28" customWidth="1"/>
    <col min="6" max="6" width="15.85546875" style="28" customWidth="1"/>
    <col min="7" max="7" width="1.85546875" style="28" customWidth="1"/>
    <col min="8" max="8" width="14.28515625" style="28" customWidth="1"/>
    <col min="9" max="9" width="11.85546875" style="37" customWidth="1"/>
    <col min="10" max="10" width="11.5703125" style="28" customWidth="1"/>
    <col min="11" max="11" width="1.140625" style="28" customWidth="1"/>
    <col min="12" max="12" width="11.85546875" style="28" customWidth="1"/>
    <col min="13" max="13" width="12.7109375" style="28" customWidth="1"/>
    <col min="14" max="14" width="11.5703125" style="28" customWidth="1"/>
    <col min="15" max="15" width="12.42578125" style="28" customWidth="1"/>
    <col min="16" max="16" width="3.7109375" style="28" customWidth="1"/>
    <col min="17" max="17" width="11.42578125" style="28" customWidth="1"/>
    <col min="18" max="18" width="12.140625" style="28" customWidth="1"/>
    <col min="19" max="19" width="3.7109375" style="28" customWidth="1"/>
    <col min="20" max="20" width="14.7109375" style="28" customWidth="1"/>
    <col min="21" max="21" width="12.28515625" style="28" customWidth="1"/>
    <col min="22" max="22" width="3.7109375" style="1" customWidth="1"/>
    <col min="23" max="23" width="14.28515625" style="1" customWidth="1"/>
    <col min="24" max="24" width="9.85546875" style="1" customWidth="1"/>
    <col min="25" max="260" width="9.140625" style="1"/>
    <col min="261" max="261" width="9.28515625" style="1" customWidth="1"/>
    <col min="262" max="262" width="1.7109375" style="1" customWidth="1"/>
    <col min="263" max="266" width="12" style="1" customWidth="1"/>
    <col min="267" max="267" width="11.85546875" style="1" customWidth="1"/>
    <col min="268" max="268" width="10.7109375" style="1" customWidth="1"/>
    <col min="269" max="269" width="10.5703125" style="1" customWidth="1"/>
    <col min="270" max="270" width="1.140625" style="1" customWidth="1"/>
    <col min="271" max="271" width="11.28515625" style="1" customWidth="1"/>
    <col min="272" max="272" width="12.7109375" style="1" customWidth="1"/>
    <col min="273" max="273" width="11.5703125" style="1" customWidth="1"/>
    <col min="274" max="274" width="12.42578125" style="1" customWidth="1"/>
    <col min="275" max="275" width="1.5703125" style="1" customWidth="1"/>
    <col min="276" max="276" width="11.42578125" style="1" customWidth="1"/>
    <col min="277" max="277" width="12.140625" style="1" customWidth="1"/>
    <col min="278" max="278" width="1.7109375" style="1" customWidth="1"/>
    <col min="279" max="279" width="13.5703125" style="1" customWidth="1"/>
    <col min="280" max="516" width="9.140625" style="1"/>
    <col min="517" max="517" width="9.28515625" style="1" customWidth="1"/>
    <col min="518" max="518" width="1.7109375" style="1" customWidth="1"/>
    <col min="519" max="522" width="12" style="1" customWidth="1"/>
    <col min="523" max="523" width="11.85546875" style="1" customWidth="1"/>
    <col min="524" max="524" width="10.7109375" style="1" customWidth="1"/>
    <col min="525" max="525" width="10.5703125" style="1" customWidth="1"/>
    <col min="526" max="526" width="1.140625" style="1" customWidth="1"/>
    <col min="527" max="527" width="11.28515625" style="1" customWidth="1"/>
    <col min="528" max="528" width="12.7109375" style="1" customWidth="1"/>
    <col min="529" max="529" width="11.5703125" style="1" customWidth="1"/>
    <col min="530" max="530" width="12.42578125" style="1" customWidth="1"/>
    <col min="531" max="531" width="1.5703125" style="1" customWidth="1"/>
    <col min="532" max="532" width="11.42578125" style="1" customWidth="1"/>
    <col min="533" max="533" width="12.140625" style="1" customWidth="1"/>
    <col min="534" max="534" width="1.7109375" style="1" customWidth="1"/>
    <col min="535" max="535" width="13.5703125" style="1" customWidth="1"/>
    <col min="536" max="772" width="9.140625" style="1"/>
    <col min="773" max="773" width="9.28515625" style="1" customWidth="1"/>
    <col min="774" max="774" width="1.7109375" style="1" customWidth="1"/>
    <col min="775" max="778" width="12" style="1" customWidth="1"/>
    <col min="779" max="779" width="11.85546875" style="1" customWidth="1"/>
    <col min="780" max="780" width="10.7109375" style="1" customWidth="1"/>
    <col min="781" max="781" width="10.5703125" style="1" customWidth="1"/>
    <col min="782" max="782" width="1.140625" style="1" customWidth="1"/>
    <col min="783" max="783" width="11.28515625" style="1" customWidth="1"/>
    <col min="784" max="784" width="12.7109375" style="1" customWidth="1"/>
    <col min="785" max="785" width="11.5703125" style="1" customWidth="1"/>
    <col min="786" max="786" width="12.42578125" style="1" customWidth="1"/>
    <col min="787" max="787" width="1.5703125" style="1" customWidth="1"/>
    <col min="788" max="788" width="11.42578125" style="1" customWidth="1"/>
    <col min="789" max="789" width="12.140625" style="1" customWidth="1"/>
    <col min="790" max="790" width="1.7109375" style="1" customWidth="1"/>
    <col min="791" max="791" width="13.5703125" style="1" customWidth="1"/>
    <col min="792" max="1028" width="9.140625" style="1"/>
    <col min="1029" max="1029" width="9.28515625" style="1" customWidth="1"/>
    <col min="1030" max="1030" width="1.7109375" style="1" customWidth="1"/>
    <col min="1031" max="1034" width="12" style="1" customWidth="1"/>
    <col min="1035" max="1035" width="11.85546875" style="1" customWidth="1"/>
    <col min="1036" max="1036" width="10.7109375" style="1" customWidth="1"/>
    <col min="1037" max="1037" width="10.5703125" style="1" customWidth="1"/>
    <col min="1038" max="1038" width="1.140625" style="1" customWidth="1"/>
    <col min="1039" max="1039" width="11.28515625" style="1" customWidth="1"/>
    <col min="1040" max="1040" width="12.7109375" style="1" customWidth="1"/>
    <col min="1041" max="1041" width="11.5703125" style="1" customWidth="1"/>
    <col min="1042" max="1042" width="12.42578125" style="1" customWidth="1"/>
    <col min="1043" max="1043" width="1.5703125" style="1" customWidth="1"/>
    <col min="1044" max="1044" width="11.42578125" style="1" customWidth="1"/>
    <col min="1045" max="1045" width="12.140625" style="1" customWidth="1"/>
    <col min="1046" max="1046" width="1.7109375" style="1" customWidth="1"/>
    <col min="1047" max="1047" width="13.5703125" style="1" customWidth="1"/>
    <col min="1048" max="1284" width="9.140625" style="1"/>
    <col min="1285" max="1285" width="9.28515625" style="1" customWidth="1"/>
    <col min="1286" max="1286" width="1.7109375" style="1" customWidth="1"/>
    <col min="1287" max="1290" width="12" style="1" customWidth="1"/>
    <col min="1291" max="1291" width="11.85546875" style="1" customWidth="1"/>
    <col min="1292" max="1292" width="10.7109375" style="1" customWidth="1"/>
    <col min="1293" max="1293" width="10.5703125" style="1" customWidth="1"/>
    <col min="1294" max="1294" width="1.140625" style="1" customWidth="1"/>
    <col min="1295" max="1295" width="11.28515625" style="1" customWidth="1"/>
    <col min="1296" max="1296" width="12.7109375" style="1" customWidth="1"/>
    <col min="1297" max="1297" width="11.5703125" style="1" customWidth="1"/>
    <col min="1298" max="1298" width="12.42578125" style="1" customWidth="1"/>
    <col min="1299" max="1299" width="1.5703125" style="1" customWidth="1"/>
    <col min="1300" max="1300" width="11.42578125" style="1" customWidth="1"/>
    <col min="1301" max="1301" width="12.140625" style="1" customWidth="1"/>
    <col min="1302" max="1302" width="1.7109375" style="1" customWidth="1"/>
    <col min="1303" max="1303" width="13.5703125" style="1" customWidth="1"/>
    <col min="1304" max="1540" width="9.140625" style="1"/>
    <col min="1541" max="1541" width="9.28515625" style="1" customWidth="1"/>
    <col min="1542" max="1542" width="1.7109375" style="1" customWidth="1"/>
    <col min="1543" max="1546" width="12" style="1" customWidth="1"/>
    <col min="1547" max="1547" width="11.85546875" style="1" customWidth="1"/>
    <col min="1548" max="1548" width="10.7109375" style="1" customWidth="1"/>
    <col min="1549" max="1549" width="10.5703125" style="1" customWidth="1"/>
    <col min="1550" max="1550" width="1.140625" style="1" customWidth="1"/>
    <col min="1551" max="1551" width="11.28515625" style="1" customWidth="1"/>
    <col min="1552" max="1552" width="12.7109375" style="1" customWidth="1"/>
    <col min="1553" max="1553" width="11.5703125" style="1" customWidth="1"/>
    <col min="1554" max="1554" width="12.42578125" style="1" customWidth="1"/>
    <col min="1555" max="1555" width="1.5703125" style="1" customWidth="1"/>
    <col min="1556" max="1556" width="11.42578125" style="1" customWidth="1"/>
    <col min="1557" max="1557" width="12.140625" style="1" customWidth="1"/>
    <col min="1558" max="1558" width="1.7109375" style="1" customWidth="1"/>
    <col min="1559" max="1559" width="13.5703125" style="1" customWidth="1"/>
    <col min="1560" max="1796" width="9.140625" style="1"/>
    <col min="1797" max="1797" width="9.28515625" style="1" customWidth="1"/>
    <col min="1798" max="1798" width="1.7109375" style="1" customWidth="1"/>
    <col min="1799" max="1802" width="12" style="1" customWidth="1"/>
    <col min="1803" max="1803" width="11.85546875" style="1" customWidth="1"/>
    <col min="1804" max="1804" width="10.7109375" style="1" customWidth="1"/>
    <col min="1805" max="1805" width="10.5703125" style="1" customWidth="1"/>
    <col min="1806" max="1806" width="1.140625" style="1" customWidth="1"/>
    <col min="1807" max="1807" width="11.28515625" style="1" customWidth="1"/>
    <col min="1808" max="1808" width="12.7109375" style="1" customWidth="1"/>
    <col min="1809" max="1809" width="11.5703125" style="1" customWidth="1"/>
    <col min="1810" max="1810" width="12.42578125" style="1" customWidth="1"/>
    <col min="1811" max="1811" width="1.5703125" style="1" customWidth="1"/>
    <col min="1812" max="1812" width="11.42578125" style="1" customWidth="1"/>
    <col min="1813" max="1813" width="12.140625" style="1" customWidth="1"/>
    <col min="1814" max="1814" width="1.7109375" style="1" customWidth="1"/>
    <col min="1815" max="1815" width="13.5703125" style="1" customWidth="1"/>
    <col min="1816" max="2052" width="9.140625" style="1"/>
    <col min="2053" max="2053" width="9.28515625" style="1" customWidth="1"/>
    <col min="2054" max="2054" width="1.7109375" style="1" customWidth="1"/>
    <col min="2055" max="2058" width="12" style="1" customWidth="1"/>
    <col min="2059" max="2059" width="11.85546875" style="1" customWidth="1"/>
    <col min="2060" max="2060" width="10.7109375" style="1" customWidth="1"/>
    <col min="2061" max="2061" width="10.5703125" style="1" customWidth="1"/>
    <col min="2062" max="2062" width="1.140625" style="1" customWidth="1"/>
    <col min="2063" max="2063" width="11.28515625" style="1" customWidth="1"/>
    <col min="2064" max="2064" width="12.7109375" style="1" customWidth="1"/>
    <col min="2065" max="2065" width="11.5703125" style="1" customWidth="1"/>
    <col min="2066" max="2066" width="12.42578125" style="1" customWidth="1"/>
    <col min="2067" max="2067" width="1.5703125" style="1" customWidth="1"/>
    <col min="2068" max="2068" width="11.42578125" style="1" customWidth="1"/>
    <col min="2069" max="2069" width="12.140625" style="1" customWidth="1"/>
    <col min="2070" max="2070" width="1.7109375" style="1" customWidth="1"/>
    <col min="2071" max="2071" width="13.5703125" style="1" customWidth="1"/>
    <col min="2072" max="2308" width="9.140625" style="1"/>
    <col min="2309" max="2309" width="9.28515625" style="1" customWidth="1"/>
    <col min="2310" max="2310" width="1.7109375" style="1" customWidth="1"/>
    <col min="2311" max="2314" width="12" style="1" customWidth="1"/>
    <col min="2315" max="2315" width="11.85546875" style="1" customWidth="1"/>
    <col min="2316" max="2316" width="10.7109375" style="1" customWidth="1"/>
    <col min="2317" max="2317" width="10.5703125" style="1" customWidth="1"/>
    <col min="2318" max="2318" width="1.140625" style="1" customWidth="1"/>
    <col min="2319" max="2319" width="11.28515625" style="1" customWidth="1"/>
    <col min="2320" max="2320" width="12.7109375" style="1" customWidth="1"/>
    <col min="2321" max="2321" width="11.5703125" style="1" customWidth="1"/>
    <col min="2322" max="2322" width="12.42578125" style="1" customWidth="1"/>
    <col min="2323" max="2323" width="1.5703125" style="1" customWidth="1"/>
    <col min="2324" max="2324" width="11.42578125" style="1" customWidth="1"/>
    <col min="2325" max="2325" width="12.140625" style="1" customWidth="1"/>
    <col min="2326" max="2326" width="1.7109375" style="1" customWidth="1"/>
    <col min="2327" max="2327" width="13.5703125" style="1" customWidth="1"/>
    <col min="2328" max="2564" width="9.140625" style="1"/>
    <col min="2565" max="2565" width="9.28515625" style="1" customWidth="1"/>
    <col min="2566" max="2566" width="1.7109375" style="1" customWidth="1"/>
    <col min="2567" max="2570" width="12" style="1" customWidth="1"/>
    <col min="2571" max="2571" width="11.85546875" style="1" customWidth="1"/>
    <col min="2572" max="2572" width="10.7109375" style="1" customWidth="1"/>
    <col min="2573" max="2573" width="10.5703125" style="1" customWidth="1"/>
    <col min="2574" max="2574" width="1.140625" style="1" customWidth="1"/>
    <col min="2575" max="2575" width="11.28515625" style="1" customWidth="1"/>
    <col min="2576" max="2576" width="12.7109375" style="1" customWidth="1"/>
    <col min="2577" max="2577" width="11.5703125" style="1" customWidth="1"/>
    <col min="2578" max="2578" width="12.42578125" style="1" customWidth="1"/>
    <col min="2579" max="2579" width="1.5703125" style="1" customWidth="1"/>
    <col min="2580" max="2580" width="11.42578125" style="1" customWidth="1"/>
    <col min="2581" max="2581" width="12.140625" style="1" customWidth="1"/>
    <col min="2582" max="2582" width="1.7109375" style="1" customWidth="1"/>
    <col min="2583" max="2583" width="13.5703125" style="1" customWidth="1"/>
    <col min="2584" max="2820" width="9.140625" style="1"/>
    <col min="2821" max="2821" width="9.28515625" style="1" customWidth="1"/>
    <col min="2822" max="2822" width="1.7109375" style="1" customWidth="1"/>
    <col min="2823" max="2826" width="12" style="1" customWidth="1"/>
    <col min="2827" max="2827" width="11.85546875" style="1" customWidth="1"/>
    <col min="2828" max="2828" width="10.7109375" style="1" customWidth="1"/>
    <col min="2829" max="2829" width="10.5703125" style="1" customWidth="1"/>
    <col min="2830" max="2830" width="1.140625" style="1" customWidth="1"/>
    <col min="2831" max="2831" width="11.28515625" style="1" customWidth="1"/>
    <col min="2832" max="2832" width="12.7109375" style="1" customWidth="1"/>
    <col min="2833" max="2833" width="11.5703125" style="1" customWidth="1"/>
    <col min="2834" max="2834" width="12.42578125" style="1" customWidth="1"/>
    <col min="2835" max="2835" width="1.5703125" style="1" customWidth="1"/>
    <col min="2836" max="2836" width="11.42578125" style="1" customWidth="1"/>
    <col min="2837" max="2837" width="12.140625" style="1" customWidth="1"/>
    <col min="2838" max="2838" width="1.7109375" style="1" customWidth="1"/>
    <col min="2839" max="2839" width="13.5703125" style="1" customWidth="1"/>
    <col min="2840" max="3076" width="9.140625" style="1"/>
    <col min="3077" max="3077" width="9.28515625" style="1" customWidth="1"/>
    <col min="3078" max="3078" width="1.7109375" style="1" customWidth="1"/>
    <col min="3079" max="3082" width="12" style="1" customWidth="1"/>
    <col min="3083" max="3083" width="11.85546875" style="1" customWidth="1"/>
    <col min="3084" max="3084" width="10.7109375" style="1" customWidth="1"/>
    <col min="3085" max="3085" width="10.5703125" style="1" customWidth="1"/>
    <col min="3086" max="3086" width="1.140625" style="1" customWidth="1"/>
    <col min="3087" max="3087" width="11.28515625" style="1" customWidth="1"/>
    <col min="3088" max="3088" width="12.7109375" style="1" customWidth="1"/>
    <col min="3089" max="3089" width="11.5703125" style="1" customWidth="1"/>
    <col min="3090" max="3090" width="12.42578125" style="1" customWidth="1"/>
    <col min="3091" max="3091" width="1.5703125" style="1" customWidth="1"/>
    <col min="3092" max="3092" width="11.42578125" style="1" customWidth="1"/>
    <col min="3093" max="3093" width="12.140625" style="1" customWidth="1"/>
    <col min="3094" max="3094" width="1.7109375" style="1" customWidth="1"/>
    <col min="3095" max="3095" width="13.5703125" style="1" customWidth="1"/>
    <col min="3096" max="3332" width="9.140625" style="1"/>
    <col min="3333" max="3333" width="9.28515625" style="1" customWidth="1"/>
    <col min="3334" max="3334" width="1.7109375" style="1" customWidth="1"/>
    <col min="3335" max="3338" width="12" style="1" customWidth="1"/>
    <col min="3339" max="3339" width="11.85546875" style="1" customWidth="1"/>
    <col min="3340" max="3340" width="10.7109375" style="1" customWidth="1"/>
    <col min="3341" max="3341" width="10.5703125" style="1" customWidth="1"/>
    <col min="3342" max="3342" width="1.140625" style="1" customWidth="1"/>
    <col min="3343" max="3343" width="11.28515625" style="1" customWidth="1"/>
    <col min="3344" max="3344" width="12.7109375" style="1" customWidth="1"/>
    <col min="3345" max="3345" width="11.5703125" style="1" customWidth="1"/>
    <col min="3346" max="3346" width="12.42578125" style="1" customWidth="1"/>
    <col min="3347" max="3347" width="1.5703125" style="1" customWidth="1"/>
    <col min="3348" max="3348" width="11.42578125" style="1" customWidth="1"/>
    <col min="3349" max="3349" width="12.140625" style="1" customWidth="1"/>
    <col min="3350" max="3350" width="1.7109375" style="1" customWidth="1"/>
    <col min="3351" max="3351" width="13.5703125" style="1" customWidth="1"/>
    <col min="3352" max="3588" width="9.140625" style="1"/>
    <col min="3589" max="3589" width="9.28515625" style="1" customWidth="1"/>
    <col min="3590" max="3590" width="1.7109375" style="1" customWidth="1"/>
    <col min="3591" max="3594" width="12" style="1" customWidth="1"/>
    <col min="3595" max="3595" width="11.85546875" style="1" customWidth="1"/>
    <col min="3596" max="3596" width="10.7109375" style="1" customWidth="1"/>
    <col min="3597" max="3597" width="10.5703125" style="1" customWidth="1"/>
    <col min="3598" max="3598" width="1.140625" style="1" customWidth="1"/>
    <col min="3599" max="3599" width="11.28515625" style="1" customWidth="1"/>
    <col min="3600" max="3600" width="12.7109375" style="1" customWidth="1"/>
    <col min="3601" max="3601" width="11.5703125" style="1" customWidth="1"/>
    <col min="3602" max="3602" width="12.42578125" style="1" customWidth="1"/>
    <col min="3603" max="3603" width="1.5703125" style="1" customWidth="1"/>
    <col min="3604" max="3604" width="11.42578125" style="1" customWidth="1"/>
    <col min="3605" max="3605" width="12.140625" style="1" customWidth="1"/>
    <col min="3606" max="3606" width="1.7109375" style="1" customWidth="1"/>
    <col min="3607" max="3607" width="13.5703125" style="1" customWidth="1"/>
    <col min="3608" max="3844" width="9.140625" style="1"/>
    <col min="3845" max="3845" width="9.28515625" style="1" customWidth="1"/>
    <col min="3846" max="3846" width="1.7109375" style="1" customWidth="1"/>
    <col min="3847" max="3850" width="12" style="1" customWidth="1"/>
    <col min="3851" max="3851" width="11.85546875" style="1" customWidth="1"/>
    <col min="3852" max="3852" width="10.7109375" style="1" customWidth="1"/>
    <col min="3853" max="3853" width="10.5703125" style="1" customWidth="1"/>
    <col min="3854" max="3854" width="1.140625" style="1" customWidth="1"/>
    <col min="3855" max="3855" width="11.28515625" style="1" customWidth="1"/>
    <col min="3856" max="3856" width="12.7109375" style="1" customWidth="1"/>
    <col min="3857" max="3857" width="11.5703125" style="1" customWidth="1"/>
    <col min="3858" max="3858" width="12.42578125" style="1" customWidth="1"/>
    <col min="3859" max="3859" width="1.5703125" style="1" customWidth="1"/>
    <col min="3860" max="3860" width="11.42578125" style="1" customWidth="1"/>
    <col min="3861" max="3861" width="12.140625" style="1" customWidth="1"/>
    <col min="3862" max="3862" width="1.7109375" style="1" customWidth="1"/>
    <col min="3863" max="3863" width="13.5703125" style="1" customWidth="1"/>
    <col min="3864" max="4100" width="9.140625" style="1"/>
    <col min="4101" max="4101" width="9.28515625" style="1" customWidth="1"/>
    <col min="4102" max="4102" width="1.7109375" style="1" customWidth="1"/>
    <col min="4103" max="4106" width="12" style="1" customWidth="1"/>
    <col min="4107" max="4107" width="11.85546875" style="1" customWidth="1"/>
    <col min="4108" max="4108" width="10.7109375" style="1" customWidth="1"/>
    <col min="4109" max="4109" width="10.5703125" style="1" customWidth="1"/>
    <col min="4110" max="4110" width="1.140625" style="1" customWidth="1"/>
    <col min="4111" max="4111" width="11.28515625" style="1" customWidth="1"/>
    <col min="4112" max="4112" width="12.7109375" style="1" customWidth="1"/>
    <col min="4113" max="4113" width="11.5703125" style="1" customWidth="1"/>
    <col min="4114" max="4114" width="12.42578125" style="1" customWidth="1"/>
    <col min="4115" max="4115" width="1.5703125" style="1" customWidth="1"/>
    <col min="4116" max="4116" width="11.42578125" style="1" customWidth="1"/>
    <col min="4117" max="4117" width="12.140625" style="1" customWidth="1"/>
    <col min="4118" max="4118" width="1.7109375" style="1" customWidth="1"/>
    <col min="4119" max="4119" width="13.5703125" style="1" customWidth="1"/>
    <col min="4120" max="4356" width="9.140625" style="1"/>
    <col min="4357" max="4357" width="9.28515625" style="1" customWidth="1"/>
    <col min="4358" max="4358" width="1.7109375" style="1" customWidth="1"/>
    <col min="4359" max="4362" width="12" style="1" customWidth="1"/>
    <col min="4363" max="4363" width="11.85546875" style="1" customWidth="1"/>
    <col min="4364" max="4364" width="10.7109375" style="1" customWidth="1"/>
    <col min="4365" max="4365" width="10.5703125" style="1" customWidth="1"/>
    <col min="4366" max="4366" width="1.140625" style="1" customWidth="1"/>
    <col min="4367" max="4367" width="11.28515625" style="1" customWidth="1"/>
    <col min="4368" max="4368" width="12.7109375" style="1" customWidth="1"/>
    <col min="4369" max="4369" width="11.5703125" style="1" customWidth="1"/>
    <col min="4370" max="4370" width="12.42578125" style="1" customWidth="1"/>
    <col min="4371" max="4371" width="1.5703125" style="1" customWidth="1"/>
    <col min="4372" max="4372" width="11.42578125" style="1" customWidth="1"/>
    <col min="4373" max="4373" width="12.140625" style="1" customWidth="1"/>
    <col min="4374" max="4374" width="1.7109375" style="1" customWidth="1"/>
    <col min="4375" max="4375" width="13.5703125" style="1" customWidth="1"/>
    <col min="4376" max="4612" width="9.140625" style="1"/>
    <col min="4613" max="4613" width="9.28515625" style="1" customWidth="1"/>
    <col min="4614" max="4614" width="1.7109375" style="1" customWidth="1"/>
    <col min="4615" max="4618" width="12" style="1" customWidth="1"/>
    <col min="4619" max="4619" width="11.85546875" style="1" customWidth="1"/>
    <col min="4620" max="4620" width="10.7109375" style="1" customWidth="1"/>
    <col min="4621" max="4621" width="10.5703125" style="1" customWidth="1"/>
    <col min="4622" max="4622" width="1.140625" style="1" customWidth="1"/>
    <col min="4623" max="4623" width="11.28515625" style="1" customWidth="1"/>
    <col min="4624" max="4624" width="12.7109375" style="1" customWidth="1"/>
    <col min="4625" max="4625" width="11.5703125" style="1" customWidth="1"/>
    <col min="4626" max="4626" width="12.42578125" style="1" customWidth="1"/>
    <col min="4627" max="4627" width="1.5703125" style="1" customWidth="1"/>
    <col min="4628" max="4628" width="11.42578125" style="1" customWidth="1"/>
    <col min="4629" max="4629" width="12.140625" style="1" customWidth="1"/>
    <col min="4630" max="4630" width="1.7109375" style="1" customWidth="1"/>
    <col min="4631" max="4631" width="13.5703125" style="1" customWidth="1"/>
    <col min="4632" max="4868" width="9.140625" style="1"/>
    <col min="4869" max="4869" width="9.28515625" style="1" customWidth="1"/>
    <col min="4870" max="4870" width="1.7109375" style="1" customWidth="1"/>
    <col min="4871" max="4874" width="12" style="1" customWidth="1"/>
    <col min="4875" max="4875" width="11.85546875" style="1" customWidth="1"/>
    <col min="4876" max="4876" width="10.7109375" style="1" customWidth="1"/>
    <col min="4877" max="4877" width="10.5703125" style="1" customWidth="1"/>
    <col min="4878" max="4878" width="1.140625" style="1" customWidth="1"/>
    <col min="4879" max="4879" width="11.28515625" style="1" customWidth="1"/>
    <col min="4880" max="4880" width="12.7109375" style="1" customWidth="1"/>
    <col min="4881" max="4881" width="11.5703125" style="1" customWidth="1"/>
    <col min="4882" max="4882" width="12.42578125" style="1" customWidth="1"/>
    <col min="4883" max="4883" width="1.5703125" style="1" customWidth="1"/>
    <col min="4884" max="4884" width="11.42578125" style="1" customWidth="1"/>
    <col min="4885" max="4885" width="12.140625" style="1" customWidth="1"/>
    <col min="4886" max="4886" width="1.7109375" style="1" customWidth="1"/>
    <col min="4887" max="4887" width="13.5703125" style="1" customWidth="1"/>
    <col min="4888" max="5124" width="9.140625" style="1"/>
    <col min="5125" max="5125" width="9.28515625" style="1" customWidth="1"/>
    <col min="5126" max="5126" width="1.7109375" style="1" customWidth="1"/>
    <col min="5127" max="5130" width="12" style="1" customWidth="1"/>
    <col min="5131" max="5131" width="11.85546875" style="1" customWidth="1"/>
    <col min="5132" max="5132" width="10.7109375" style="1" customWidth="1"/>
    <col min="5133" max="5133" width="10.5703125" style="1" customWidth="1"/>
    <col min="5134" max="5134" width="1.140625" style="1" customWidth="1"/>
    <col min="5135" max="5135" width="11.28515625" style="1" customWidth="1"/>
    <col min="5136" max="5136" width="12.7109375" style="1" customWidth="1"/>
    <col min="5137" max="5137" width="11.5703125" style="1" customWidth="1"/>
    <col min="5138" max="5138" width="12.42578125" style="1" customWidth="1"/>
    <col min="5139" max="5139" width="1.5703125" style="1" customWidth="1"/>
    <col min="5140" max="5140" width="11.42578125" style="1" customWidth="1"/>
    <col min="5141" max="5141" width="12.140625" style="1" customWidth="1"/>
    <col min="5142" max="5142" width="1.7109375" style="1" customWidth="1"/>
    <col min="5143" max="5143" width="13.5703125" style="1" customWidth="1"/>
    <col min="5144" max="5380" width="9.140625" style="1"/>
    <col min="5381" max="5381" width="9.28515625" style="1" customWidth="1"/>
    <col min="5382" max="5382" width="1.7109375" style="1" customWidth="1"/>
    <col min="5383" max="5386" width="12" style="1" customWidth="1"/>
    <col min="5387" max="5387" width="11.85546875" style="1" customWidth="1"/>
    <col min="5388" max="5388" width="10.7109375" style="1" customWidth="1"/>
    <col min="5389" max="5389" width="10.5703125" style="1" customWidth="1"/>
    <col min="5390" max="5390" width="1.140625" style="1" customWidth="1"/>
    <col min="5391" max="5391" width="11.28515625" style="1" customWidth="1"/>
    <col min="5392" max="5392" width="12.7109375" style="1" customWidth="1"/>
    <col min="5393" max="5393" width="11.5703125" style="1" customWidth="1"/>
    <col min="5394" max="5394" width="12.42578125" style="1" customWidth="1"/>
    <col min="5395" max="5395" width="1.5703125" style="1" customWidth="1"/>
    <col min="5396" max="5396" width="11.42578125" style="1" customWidth="1"/>
    <col min="5397" max="5397" width="12.140625" style="1" customWidth="1"/>
    <col min="5398" max="5398" width="1.7109375" style="1" customWidth="1"/>
    <col min="5399" max="5399" width="13.5703125" style="1" customWidth="1"/>
    <col min="5400" max="5636" width="9.140625" style="1"/>
    <col min="5637" max="5637" width="9.28515625" style="1" customWidth="1"/>
    <col min="5638" max="5638" width="1.7109375" style="1" customWidth="1"/>
    <col min="5639" max="5642" width="12" style="1" customWidth="1"/>
    <col min="5643" max="5643" width="11.85546875" style="1" customWidth="1"/>
    <col min="5644" max="5644" width="10.7109375" style="1" customWidth="1"/>
    <col min="5645" max="5645" width="10.5703125" style="1" customWidth="1"/>
    <col min="5646" max="5646" width="1.140625" style="1" customWidth="1"/>
    <col min="5647" max="5647" width="11.28515625" style="1" customWidth="1"/>
    <col min="5648" max="5648" width="12.7109375" style="1" customWidth="1"/>
    <col min="5649" max="5649" width="11.5703125" style="1" customWidth="1"/>
    <col min="5650" max="5650" width="12.42578125" style="1" customWidth="1"/>
    <col min="5651" max="5651" width="1.5703125" style="1" customWidth="1"/>
    <col min="5652" max="5652" width="11.42578125" style="1" customWidth="1"/>
    <col min="5653" max="5653" width="12.140625" style="1" customWidth="1"/>
    <col min="5654" max="5654" width="1.7109375" style="1" customWidth="1"/>
    <col min="5655" max="5655" width="13.5703125" style="1" customWidth="1"/>
    <col min="5656" max="5892" width="9.140625" style="1"/>
    <col min="5893" max="5893" width="9.28515625" style="1" customWidth="1"/>
    <col min="5894" max="5894" width="1.7109375" style="1" customWidth="1"/>
    <col min="5895" max="5898" width="12" style="1" customWidth="1"/>
    <col min="5899" max="5899" width="11.85546875" style="1" customWidth="1"/>
    <col min="5900" max="5900" width="10.7109375" style="1" customWidth="1"/>
    <col min="5901" max="5901" width="10.5703125" style="1" customWidth="1"/>
    <col min="5902" max="5902" width="1.140625" style="1" customWidth="1"/>
    <col min="5903" max="5903" width="11.28515625" style="1" customWidth="1"/>
    <col min="5904" max="5904" width="12.7109375" style="1" customWidth="1"/>
    <col min="5905" max="5905" width="11.5703125" style="1" customWidth="1"/>
    <col min="5906" max="5906" width="12.42578125" style="1" customWidth="1"/>
    <col min="5907" max="5907" width="1.5703125" style="1" customWidth="1"/>
    <col min="5908" max="5908" width="11.42578125" style="1" customWidth="1"/>
    <col min="5909" max="5909" width="12.140625" style="1" customWidth="1"/>
    <col min="5910" max="5910" width="1.7109375" style="1" customWidth="1"/>
    <col min="5911" max="5911" width="13.5703125" style="1" customWidth="1"/>
    <col min="5912" max="6148" width="9.140625" style="1"/>
    <col min="6149" max="6149" width="9.28515625" style="1" customWidth="1"/>
    <col min="6150" max="6150" width="1.7109375" style="1" customWidth="1"/>
    <col min="6151" max="6154" width="12" style="1" customWidth="1"/>
    <col min="6155" max="6155" width="11.85546875" style="1" customWidth="1"/>
    <col min="6156" max="6156" width="10.7109375" style="1" customWidth="1"/>
    <col min="6157" max="6157" width="10.5703125" style="1" customWidth="1"/>
    <col min="6158" max="6158" width="1.140625" style="1" customWidth="1"/>
    <col min="6159" max="6159" width="11.28515625" style="1" customWidth="1"/>
    <col min="6160" max="6160" width="12.7109375" style="1" customWidth="1"/>
    <col min="6161" max="6161" width="11.5703125" style="1" customWidth="1"/>
    <col min="6162" max="6162" width="12.42578125" style="1" customWidth="1"/>
    <col min="6163" max="6163" width="1.5703125" style="1" customWidth="1"/>
    <col min="6164" max="6164" width="11.42578125" style="1" customWidth="1"/>
    <col min="6165" max="6165" width="12.140625" style="1" customWidth="1"/>
    <col min="6166" max="6166" width="1.7109375" style="1" customWidth="1"/>
    <col min="6167" max="6167" width="13.5703125" style="1" customWidth="1"/>
    <col min="6168" max="6404" width="9.140625" style="1"/>
    <col min="6405" max="6405" width="9.28515625" style="1" customWidth="1"/>
    <col min="6406" max="6406" width="1.7109375" style="1" customWidth="1"/>
    <col min="6407" max="6410" width="12" style="1" customWidth="1"/>
    <col min="6411" max="6411" width="11.85546875" style="1" customWidth="1"/>
    <col min="6412" max="6412" width="10.7109375" style="1" customWidth="1"/>
    <col min="6413" max="6413" width="10.5703125" style="1" customWidth="1"/>
    <col min="6414" max="6414" width="1.140625" style="1" customWidth="1"/>
    <col min="6415" max="6415" width="11.28515625" style="1" customWidth="1"/>
    <col min="6416" max="6416" width="12.7109375" style="1" customWidth="1"/>
    <col min="6417" max="6417" width="11.5703125" style="1" customWidth="1"/>
    <col min="6418" max="6418" width="12.42578125" style="1" customWidth="1"/>
    <col min="6419" max="6419" width="1.5703125" style="1" customWidth="1"/>
    <col min="6420" max="6420" width="11.42578125" style="1" customWidth="1"/>
    <col min="6421" max="6421" width="12.140625" style="1" customWidth="1"/>
    <col min="6422" max="6422" width="1.7109375" style="1" customWidth="1"/>
    <col min="6423" max="6423" width="13.5703125" style="1" customWidth="1"/>
    <col min="6424" max="6660" width="9.140625" style="1"/>
    <col min="6661" max="6661" width="9.28515625" style="1" customWidth="1"/>
    <col min="6662" max="6662" width="1.7109375" style="1" customWidth="1"/>
    <col min="6663" max="6666" width="12" style="1" customWidth="1"/>
    <col min="6667" max="6667" width="11.85546875" style="1" customWidth="1"/>
    <col min="6668" max="6668" width="10.7109375" style="1" customWidth="1"/>
    <col min="6669" max="6669" width="10.5703125" style="1" customWidth="1"/>
    <col min="6670" max="6670" width="1.140625" style="1" customWidth="1"/>
    <col min="6671" max="6671" width="11.28515625" style="1" customWidth="1"/>
    <col min="6672" max="6672" width="12.7109375" style="1" customWidth="1"/>
    <col min="6673" max="6673" width="11.5703125" style="1" customWidth="1"/>
    <col min="6674" max="6674" width="12.42578125" style="1" customWidth="1"/>
    <col min="6675" max="6675" width="1.5703125" style="1" customWidth="1"/>
    <col min="6676" max="6676" width="11.42578125" style="1" customWidth="1"/>
    <col min="6677" max="6677" width="12.140625" style="1" customWidth="1"/>
    <col min="6678" max="6678" width="1.7109375" style="1" customWidth="1"/>
    <col min="6679" max="6679" width="13.5703125" style="1" customWidth="1"/>
    <col min="6680" max="6916" width="9.140625" style="1"/>
    <col min="6917" max="6917" width="9.28515625" style="1" customWidth="1"/>
    <col min="6918" max="6918" width="1.7109375" style="1" customWidth="1"/>
    <col min="6919" max="6922" width="12" style="1" customWidth="1"/>
    <col min="6923" max="6923" width="11.85546875" style="1" customWidth="1"/>
    <col min="6924" max="6924" width="10.7109375" style="1" customWidth="1"/>
    <col min="6925" max="6925" width="10.5703125" style="1" customWidth="1"/>
    <col min="6926" max="6926" width="1.140625" style="1" customWidth="1"/>
    <col min="6927" max="6927" width="11.28515625" style="1" customWidth="1"/>
    <col min="6928" max="6928" width="12.7109375" style="1" customWidth="1"/>
    <col min="6929" max="6929" width="11.5703125" style="1" customWidth="1"/>
    <col min="6930" max="6930" width="12.42578125" style="1" customWidth="1"/>
    <col min="6931" max="6931" width="1.5703125" style="1" customWidth="1"/>
    <col min="6932" max="6932" width="11.42578125" style="1" customWidth="1"/>
    <col min="6933" max="6933" width="12.140625" style="1" customWidth="1"/>
    <col min="6934" max="6934" width="1.7109375" style="1" customWidth="1"/>
    <col min="6935" max="6935" width="13.5703125" style="1" customWidth="1"/>
    <col min="6936" max="7172" width="9.140625" style="1"/>
    <col min="7173" max="7173" width="9.28515625" style="1" customWidth="1"/>
    <col min="7174" max="7174" width="1.7109375" style="1" customWidth="1"/>
    <col min="7175" max="7178" width="12" style="1" customWidth="1"/>
    <col min="7179" max="7179" width="11.85546875" style="1" customWidth="1"/>
    <col min="7180" max="7180" width="10.7109375" style="1" customWidth="1"/>
    <col min="7181" max="7181" width="10.5703125" style="1" customWidth="1"/>
    <col min="7182" max="7182" width="1.140625" style="1" customWidth="1"/>
    <col min="7183" max="7183" width="11.28515625" style="1" customWidth="1"/>
    <col min="7184" max="7184" width="12.7109375" style="1" customWidth="1"/>
    <col min="7185" max="7185" width="11.5703125" style="1" customWidth="1"/>
    <col min="7186" max="7186" width="12.42578125" style="1" customWidth="1"/>
    <col min="7187" max="7187" width="1.5703125" style="1" customWidth="1"/>
    <col min="7188" max="7188" width="11.42578125" style="1" customWidth="1"/>
    <col min="7189" max="7189" width="12.140625" style="1" customWidth="1"/>
    <col min="7190" max="7190" width="1.7109375" style="1" customWidth="1"/>
    <col min="7191" max="7191" width="13.5703125" style="1" customWidth="1"/>
    <col min="7192" max="7428" width="9.140625" style="1"/>
    <col min="7429" max="7429" width="9.28515625" style="1" customWidth="1"/>
    <col min="7430" max="7430" width="1.7109375" style="1" customWidth="1"/>
    <col min="7431" max="7434" width="12" style="1" customWidth="1"/>
    <col min="7435" max="7435" width="11.85546875" style="1" customWidth="1"/>
    <col min="7436" max="7436" width="10.7109375" style="1" customWidth="1"/>
    <col min="7437" max="7437" width="10.5703125" style="1" customWidth="1"/>
    <col min="7438" max="7438" width="1.140625" style="1" customWidth="1"/>
    <col min="7439" max="7439" width="11.28515625" style="1" customWidth="1"/>
    <col min="7440" max="7440" width="12.7109375" style="1" customWidth="1"/>
    <col min="7441" max="7441" width="11.5703125" style="1" customWidth="1"/>
    <col min="7442" max="7442" width="12.42578125" style="1" customWidth="1"/>
    <col min="7443" max="7443" width="1.5703125" style="1" customWidth="1"/>
    <col min="7444" max="7444" width="11.42578125" style="1" customWidth="1"/>
    <col min="7445" max="7445" width="12.140625" style="1" customWidth="1"/>
    <col min="7446" max="7446" width="1.7109375" style="1" customWidth="1"/>
    <col min="7447" max="7447" width="13.5703125" style="1" customWidth="1"/>
    <col min="7448" max="7684" width="9.140625" style="1"/>
    <col min="7685" max="7685" width="9.28515625" style="1" customWidth="1"/>
    <col min="7686" max="7686" width="1.7109375" style="1" customWidth="1"/>
    <col min="7687" max="7690" width="12" style="1" customWidth="1"/>
    <col min="7691" max="7691" width="11.85546875" style="1" customWidth="1"/>
    <col min="7692" max="7692" width="10.7109375" style="1" customWidth="1"/>
    <col min="7693" max="7693" width="10.5703125" style="1" customWidth="1"/>
    <col min="7694" max="7694" width="1.140625" style="1" customWidth="1"/>
    <col min="7695" max="7695" width="11.28515625" style="1" customWidth="1"/>
    <col min="7696" max="7696" width="12.7109375" style="1" customWidth="1"/>
    <col min="7697" max="7697" width="11.5703125" style="1" customWidth="1"/>
    <col min="7698" max="7698" width="12.42578125" style="1" customWidth="1"/>
    <col min="7699" max="7699" width="1.5703125" style="1" customWidth="1"/>
    <col min="7700" max="7700" width="11.42578125" style="1" customWidth="1"/>
    <col min="7701" max="7701" width="12.140625" style="1" customWidth="1"/>
    <col min="7702" max="7702" width="1.7109375" style="1" customWidth="1"/>
    <col min="7703" max="7703" width="13.5703125" style="1" customWidth="1"/>
    <col min="7704" max="7940" width="9.140625" style="1"/>
    <col min="7941" max="7941" width="9.28515625" style="1" customWidth="1"/>
    <col min="7942" max="7942" width="1.7109375" style="1" customWidth="1"/>
    <col min="7943" max="7946" width="12" style="1" customWidth="1"/>
    <col min="7947" max="7947" width="11.85546875" style="1" customWidth="1"/>
    <col min="7948" max="7948" width="10.7109375" style="1" customWidth="1"/>
    <col min="7949" max="7949" width="10.5703125" style="1" customWidth="1"/>
    <col min="7950" max="7950" width="1.140625" style="1" customWidth="1"/>
    <col min="7951" max="7951" width="11.28515625" style="1" customWidth="1"/>
    <col min="7952" max="7952" width="12.7109375" style="1" customWidth="1"/>
    <col min="7953" max="7953" width="11.5703125" style="1" customWidth="1"/>
    <col min="7954" max="7954" width="12.42578125" style="1" customWidth="1"/>
    <col min="7955" max="7955" width="1.5703125" style="1" customWidth="1"/>
    <col min="7956" max="7956" width="11.42578125" style="1" customWidth="1"/>
    <col min="7957" max="7957" width="12.140625" style="1" customWidth="1"/>
    <col min="7958" max="7958" width="1.7109375" style="1" customWidth="1"/>
    <col min="7959" max="7959" width="13.5703125" style="1" customWidth="1"/>
    <col min="7960" max="8196" width="9.140625" style="1"/>
    <col min="8197" max="8197" width="9.28515625" style="1" customWidth="1"/>
    <col min="8198" max="8198" width="1.7109375" style="1" customWidth="1"/>
    <col min="8199" max="8202" width="12" style="1" customWidth="1"/>
    <col min="8203" max="8203" width="11.85546875" style="1" customWidth="1"/>
    <col min="8204" max="8204" width="10.7109375" style="1" customWidth="1"/>
    <col min="8205" max="8205" width="10.5703125" style="1" customWidth="1"/>
    <col min="8206" max="8206" width="1.140625" style="1" customWidth="1"/>
    <col min="8207" max="8207" width="11.28515625" style="1" customWidth="1"/>
    <col min="8208" max="8208" width="12.7109375" style="1" customWidth="1"/>
    <col min="8209" max="8209" width="11.5703125" style="1" customWidth="1"/>
    <col min="8210" max="8210" width="12.42578125" style="1" customWidth="1"/>
    <col min="8211" max="8211" width="1.5703125" style="1" customWidth="1"/>
    <col min="8212" max="8212" width="11.42578125" style="1" customWidth="1"/>
    <col min="8213" max="8213" width="12.140625" style="1" customWidth="1"/>
    <col min="8214" max="8214" width="1.7109375" style="1" customWidth="1"/>
    <col min="8215" max="8215" width="13.5703125" style="1" customWidth="1"/>
    <col min="8216" max="8452" width="9.140625" style="1"/>
    <col min="8453" max="8453" width="9.28515625" style="1" customWidth="1"/>
    <col min="8454" max="8454" width="1.7109375" style="1" customWidth="1"/>
    <col min="8455" max="8458" width="12" style="1" customWidth="1"/>
    <col min="8459" max="8459" width="11.85546875" style="1" customWidth="1"/>
    <col min="8460" max="8460" width="10.7109375" style="1" customWidth="1"/>
    <col min="8461" max="8461" width="10.5703125" style="1" customWidth="1"/>
    <col min="8462" max="8462" width="1.140625" style="1" customWidth="1"/>
    <col min="8463" max="8463" width="11.28515625" style="1" customWidth="1"/>
    <col min="8464" max="8464" width="12.7109375" style="1" customWidth="1"/>
    <col min="8465" max="8465" width="11.5703125" style="1" customWidth="1"/>
    <col min="8466" max="8466" width="12.42578125" style="1" customWidth="1"/>
    <col min="8467" max="8467" width="1.5703125" style="1" customWidth="1"/>
    <col min="8468" max="8468" width="11.42578125" style="1" customWidth="1"/>
    <col min="8469" max="8469" width="12.140625" style="1" customWidth="1"/>
    <col min="8470" max="8470" width="1.7109375" style="1" customWidth="1"/>
    <col min="8471" max="8471" width="13.5703125" style="1" customWidth="1"/>
    <col min="8472" max="8708" width="9.140625" style="1"/>
    <col min="8709" max="8709" width="9.28515625" style="1" customWidth="1"/>
    <col min="8710" max="8710" width="1.7109375" style="1" customWidth="1"/>
    <col min="8711" max="8714" width="12" style="1" customWidth="1"/>
    <col min="8715" max="8715" width="11.85546875" style="1" customWidth="1"/>
    <col min="8716" max="8716" width="10.7109375" style="1" customWidth="1"/>
    <col min="8717" max="8717" width="10.5703125" style="1" customWidth="1"/>
    <col min="8718" max="8718" width="1.140625" style="1" customWidth="1"/>
    <col min="8719" max="8719" width="11.28515625" style="1" customWidth="1"/>
    <col min="8720" max="8720" width="12.7109375" style="1" customWidth="1"/>
    <col min="8721" max="8721" width="11.5703125" style="1" customWidth="1"/>
    <col min="8722" max="8722" width="12.42578125" style="1" customWidth="1"/>
    <col min="8723" max="8723" width="1.5703125" style="1" customWidth="1"/>
    <col min="8724" max="8724" width="11.42578125" style="1" customWidth="1"/>
    <col min="8725" max="8725" width="12.140625" style="1" customWidth="1"/>
    <col min="8726" max="8726" width="1.7109375" style="1" customWidth="1"/>
    <col min="8727" max="8727" width="13.5703125" style="1" customWidth="1"/>
    <col min="8728" max="8964" width="9.140625" style="1"/>
    <col min="8965" max="8965" width="9.28515625" style="1" customWidth="1"/>
    <col min="8966" max="8966" width="1.7109375" style="1" customWidth="1"/>
    <col min="8967" max="8970" width="12" style="1" customWidth="1"/>
    <col min="8971" max="8971" width="11.85546875" style="1" customWidth="1"/>
    <col min="8972" max="8972" width="10.7109375" style="1" customWidth="1"/>
    <col min="8973" max="8973" width="10.5703125" style="1" customWidth="1"/>
    <col min="8974" max="8974" width="1.140625" style="1" customWidth="1"/>
    <col min="8975" max="8975" width="11.28515625" style="1" customWidth="1"/>
    <col min="8976" max="8976" width="12.7109375" style="1" customWidth="1"/>
    <col min="8977" max="8977" width="11.5703125" style="1" customWidth="1"/>
    <col min="8978" max="8978" width="12.42578125" style="1" customWidth="1"/>
    <col min="8979" max="8979" width="1.5703125" style="1" customWidth="1"/>
    <col min="8980" max="8980" width="11.42578125" style="1" customWidth="1"/>
    <col min="8981" max="8981" width="12.140625" style="1" customWidth="1"/>
    <col min="8982" max="8982" width="1.7109375" style="1" customWidth="1"/>
    <col min="8983" max="8983" width="13.5703125" style="1" customWidth="1"/>
    <col min="8984" max="9220" width="9.140625" style="1"/>
    <col min="9221" max="9221" width="9.28515625" style="1" customWidth="1"/>
    <col min="9222" max="9222" width="1.7109375" style="1" customWidth="1"/>
    <col min="9223" max="9226" width="12" style="1" customWidth="1"/>
    <col min="9227" max="9227" width="11.85546875" style="1" customWidth="1"/>
    <col min="9228" max="9228" width="10.7109375" style="1" customWidth="1"/>
    <col min="9229" max="9229" width="10.5703125" style="1" customWidth="1"/>
    <col min="9230" max="9230" width="1.140625" style="1" customWidth="1"/>
    <col min="9231" max="9231" width="11.28515625" style="1" customWidth="1"/>
    <col min="9232" max="9232" width="12.7109375" style="1" customWidth="1"/>
    <col min="9233" max="9233" width="11.5703125" style="1" customWidth="1"/>
    <col min="9234" max="9234" width="12.42578125" style="1" customWidth="1"/>
    <col min="9235" max="9235" width="1.5703125" style="1" customWidth="1"/>
    <col min="9236" max="9236" width="11.42578125" style="1" customWidth="1"/>
    <col min="9237" max="9237" width="12.140625" style="1" customWidth="1"/>
    <col min="9238" max="9238" width="1.7109375" style="1" customWidth="1"/>
    <col min="9239" max="9239" width="13.5703125" style="1" customWidth="1"/>
    <col min="9240" max="9476" width="9.140625" style="1"/>
    <col min="9477" max="9477" width="9.28515625" style="1" customWidth="1"/>
    <col min="9478" max="9478" width="1.7109375" style="1" customWidth="1"/>
    <col min="9479" max="9482" width="12" style="1" customWidth="1"/>
    <col min="9483" max="9483" width="11.85546875" style="1" customWidth="1"/>
    <col min="9484" max="9484" width="10.7109375" style="1" customWidth="1"/>
    <col min="9485" max="9485" width="10.5703125" style="1" customWidth="1"/>
    <col min="9486" max="9486" width="1.140625" style="1" customWidth="1"/>
    <col min="9487" max="9487" width="11.28515625" style="1" customWidth="1"/>
    <col min="9488" max="9488" width="12.7109375" style="1" customWidth="1"/>
    <col min="9489" max="9489" width="11.5703125" style="1" customWidth="1"/>
    <col min="9490" max="9490" width="12.42578125" style="1" customWidth="1"/>
    <col min="9491" max="9491" width="1.5703125" style="1" customWidth="1"/>
    <col min="9492" max="9492" width="11.42578125" style="1" customWidth="1"/>
    <col min="9493" max="9493" width="12.140625" style="1" customWidth="1"/>
    <col min="9494" max="9494" width="1.7109375" style="1" customWidth="1"/>
    <col min="9495" max="9495" width="13.5703125" style="1" customWidth="1"/>
    <col min="9496" max="9732" width="9.140625" style="1"/>
    <col min="9733" max="9733" width="9.28515625" style="1" customWidth="1"/>
    <col min="9734" max="9734" width="1.7109375" style="1" customWidth="1"/>
    <col min="9735" max="9738" width="12" style="1" customWidth="1"/>
    <col min="9739" max="9739" width="11.85546875" style="1" customWidth="1"/>
    <col min="9740" max="9740" width="10.7109375" style="1" customWidth="1"/>
    <col min="9741" max="9741" width="10.5703125" style="1" customWidth="1"/>
    <col min="9742" max="9742" width="1.140625" style="1" customWidth="1"/>
    <col min="9743" max="9743" width="11.28515625" style="1" customWidth="1"/>
    <col min="9744" max="9744" width="12.7109375" style="1" customWidth="1"/>
    <col min="9745" max="9745" width="11.5703125" style="1" customWidth="1"/>
    <col min="9746" max="9746" width="12.42578125" style="1" customWidth="1"/>
    <col min="9747" max="9747" width="1.5703125" style="1" customWidth="1"/>
    <col min="9748" max="9748" width="11.42578125" style="1" customWidth="1"/>
    <col min="9749" max="9749" width="12.140625" style="1" customWidth="1"/>
    <col min="9750" max="9750" width="1.7109375" style="1" customWidth="1"/>
    <col min="9751" max="9751" width="13.5703125" style="1" customWidth="1"/>
    <col min="9752" max="9988" width="9.140625" style="1"/>
    <col min="9989" max="9989" width="9.28515625" style="1" customWidth="1"/>
    <col min="9990" max="9990" width="1.7109375" style="1" customWidth="1"/>
    <col min="9991" max="9994" width="12" style="1" customWidth="1"/>
    <col min="9995" max="9995" width="11.85546875" style="1" customWidth="1"/>
    <col min="9996" max="9996" width="10.7109375" style="1" customWidth="1"/>
    <col min="9997" max="9997" width="10.5703125" style="1" customWidth="1"/>
    <col min="9998" max="9998" width="1.140625" style="1" customWidth="1"/>
    <col min="9999" max="9999" width="11.28515625" style="1" customWidth="1"/>
    <col min="10000" max="10000" width="12.7109375" style="1" customWidth="1"/>
    <col min="10001" max="10001" width="11.5703125" style="1" customWidth="1"/>
    <col min="10002" max="10002" width="12.42578125" style="1" customWidth="1"/>
    <col min="10003" max="10003" width="1.5703125" style="1" customWidth="1"/>
    <col min="10004" max="10004" width="11.42578125" style="1" customWidth="1"/>
    <col min="10005" max="10005" width="12.140625" style="1" customWidth="1"/>
    <col min="10006" max="10006" width="1.7109375" style="1" customWidth="1"/>
    <col min="10007" max="10007" width="13.5703125" style="1" customWidth="1"/>
    <col min="10008" max="10244" width="9.140625" style="1"/>
    <col min="10245" max="10245" width="9.28515625" style="1" customWidth="1"/>
    <col min="10246" max="10246" width="1.7109375" style="1" customWidth="1"/>
    <col min="10247" max="10250" width="12" style="1" customWidth="1"/>
    <col min="10251" max="10251" width="11.85546875" style="1" customWidth="1"/>
    <col min="10252" max="10252" width="10.7109375" style="1" customWidth="1"/>
    <col min="10253" max="10253" width="10.5703125" style="1" customWidth="1"/>
    <col min="10254" max="10254" width="1.140625" style="1" customWidth="1"/>
    <col min="10255" max="10255" width="11.28515625" style="1" customWidth="1"/>
    <col min="10256" max="10256" width="12.7109375" style="1" customWidth="1"/>
    <col min="10257" max="10257" width="11.5703125" style="1" customWidth="1"/>
    <col min="10258" max="10258" width="12.42578125" style="1" customWidth="1"/>
    <col min="10259" max="10259" width="1.5703125" style="1" customWidth="1"/>
    <col min="10260" max="10260" width="11.42578125" style="1" customWidth="1"/>
    <col min="10261" max="10261" width="12.140625" style="1" customWidth="1"/>
    <col min="10262" max="10262" width="1.7109375" style="1" customWidth="1"/>
    <col min="10263" max="10263" width="13.5703125" style="1" customWidth="1"/>
    <col min="10264" max="10500" width="9.140625" style="1"/>
    <col min="10501" max="10501" width="9.28515625" style="1" customWidth="1"/>
    <col min="10502" max="10502" width="1.7109375" style="1" customWidth="1"/>
    <col min="10503" max="10506" width="12" style="1" customWidth="1"/>
    <col min="10507" max="10507" width="11.85546875" style="1" customWidth="1"/>
    <col min="10508" max="10508" width="10.7109375" style="1" customWidth="1"/>
    <col min="10509" max="10509" width="10.5703125" style="1" customWidth="1"/>
    <col min="10510" max="10510" width="1.140625" style="1" customWidth="1"/>
    <col min="10511" max="10511" width="11.28515625" style="1" customWidth="1"/>
    <col min="10512" max="10512" width="12.7109375" style="1" customWidth="1"/>
    <col min="10513" max="10513" width="11.5703125" style="1" customWidth="1"/>
    <col min="10514" max="10514" width="12.42578125" style="1" customWidth="1"/>
    <col min="10515" max="10515" width="1.5703125" style="1" customWidth="1"/>
    <col min="10516" max="10516" width="11.42578125" style="1" customWidth="1"/>
    <col min="10517" max="10517" width="12.140625" style="1" customWidth="1"/>
    <col min="10518" max="10518" width="1.7109375" style="1" customWidth="1"/>
    <col min="10519" max="10519" width="13.5703125" style="1" customWidth="1"/>
    <col min="10520" max="10756" width="9.140625" style="1"/>
    <col min="10757" max="10757" width="9.28515625" style="1" customWidth="1"/>
    <col min="10758" max="10758" width="1.7109375" style="1" customWidth="1"/>
    <col min="10759" max="10762" width="12" style="1" customWidth="1"/>
    <col min="10763" max="10763" width="11.85546875" style="1" customWidth="1"/>
    <col min="10764" max="10764" width="10.7109375" style="1" customWidth="1"/>
    <col min="10765" max="10765" width="10.5703125" style="1" customWidth="1"/>
    <col min="10766" max="10766" width="1.140625" style="1" customWidth="1"/>
    <col min="10767" max="10767" width="11.28515625" style="1" customWidth="1"/>
    <col min="10768" max="10768" width="12.7109375" style="1" customWidth="1"/>
    <col min="10769" max="10769" width="11.5703125" style="1" customWidth="1"/>
    <col min="10770" max="10770" width="12.42578125" style="1" customWidth="1"/>
    <col min="10771" max="10771" width="1.5703125" style="1" customWidth="1"/>
    <col min="10772" max="10772" width="11.42578125" style="1" customWidth="1"/>
    <col min="10773" max="10773" width="12.140625" style="1" customWidth="1"/>
    <col min="10774" max="10774" width="1.7109375" style="1" customWidth="1"/>
    <col min="10775" max="10775" width="13.5703125" style="1" customWidth="1"/>
    <col min="10776" max="11012" width="9.140625" style="1"/>
    <col min="11013" max="11013" width="9.28515625" style="1" customWidth="1"/>
    <col min="11014" max="11014" width="1.7109375" style="1" customWidth="1"/>
    <col min="11015" max="11018" width="12" style="1" customWidth="1"/>
    <col min="11019" max="11019" width="11.85546875" style="1" customWidth="1"/>
    <col min="11020" max="11020" width="10.7109375" style="1" customWidth="1"/>
    <col min="11021" max="11021" width="10.5703125" style="1" customWidth="1"/>
    <col min="11022" max="11022" width="1.140625" style="1" customWidth="1"/>
    <col min="11023" max="11023" width="11.28515625" style="1" customWidth="1"/>
    <col min="11024" max="11024" width="12.7109375" style="1" customWidth="1"/>
    <col min="11025" max="11025" width="11.5703125" style="1" customWidth="1"/>
    <col min="11026" max="11026" width="12.42578125" style="1" customWidth="1"/>
    <col min="11027" max="11027" width="1.5703125" style="1" customWidth="1"/>
    <col min="11028" max="11028" width="11.42578125" style="1" customWidth="1"/>
    <col min="11029" max="11029" width="12.140625" style="1" customWidth="1"/>
    <col min="11030" max="11030" width="1.7109375" style="1" customWidth="1"/>
    <col min="11031" max="11031" width="13.5703125" style="1" customWidth="1"/>
    <col min="11032" max="11268" width="9.140625" style="1"/>
    <col min="11269" max="11269" width="9.28515625" style="1" customWidth="1"/>
    <col min="11270" max="11270" width="1.7109375" style="1" customWidth="1"/>
    <col min="11271" max="11274" width="12" style="1" customWidth="1"/>
    <col min="11275" max="11275" width="11.85546875" style="1" customWidth="1"/>
    <col min="11276" max="11276" width="10.7109375" style="1" customWidth="1"/>
    <col min="11277" max="11277" width="10.5703125" style="1" customWidth="1"/>
    <col min="11278" max="11278" width="1.140625" style="1" customWidth="1"/>
    <col min="11279" max="11279" width="11.28515625" style="1" customWidth="1"/>
    <col min="11280" max="11280" width="12.7109375" style="1" customWidth="1"/>
    <col min="11281" max="11281" width="11.5703125" style="1" customWidth="1"/>
    <col min="11282" max="11282" width="12.42578125" style="1" customWidth="1"/>
    <col min="11283" max="11283" width="1.5703125" style="1" customWidth="1"/>
    <col min="11284" max="11284" width="11.42578125" style="1" customWidth="1"/>
    <col min="11285" max="11285" width="12.140625" style="1" customWidth="1"/>
    <col min="11286" max="11286" width="1.7109375" style="1" customWidth="1"/>
    <col min="11287" max="11287" width="13.5703125" style="1" customWidth="1"/>
    <col min="11288" max="11524" width="9.140625" style="1"/>
    <col min="11525" max="11525" width="9.28515625" style="1" customWidth="1"/>
    <col min="11526" max="11526" width="1.7109375" style="1" customWidth="1"/>
    <col min="11527" max="11530" width="12" style="1" customWidth="1"/>
    <col min="11531" max="11531" width="11.85546875" style="1" customWidth="1"/>
    <col min="11532" max="11532" width="10.7109375" style="1" customWidth="1"/>
    <col min="11533" max="11533" width="10.5703125" style="1" customWidth="1"/>
    <col min="11534" max="11534" width="1.140625" style="1" customWidth="1"/>
    <col min="11535" max="11535" width="11.28515625" style="1" customWidth="1"/>
    <col min="11536" max="11536" width="12.7109375" style="1" customWidth="1"/>
    <col min="11537" max="11537" width="11.5703125" style="1" customWidth="1"/>
    <col min="11538" max="11538" width="12.42578125" style="1" customWidth="1"/>
    <col min="11539" max="11539" width="1.5703125" style="1" customWidth="1"/>
    <col min="11540" max="11540" width="11.42578125" style="1" customWidth="1"/>
    <col min="11541" max="11541" width="12.140625" style="1" customWidth="1"/>
    <col min="11542" max="11542" width="1.7109375" style="1" customWidth="1"/>
    <col min="11543" max="11543" width="13.5703125" style="1" customWidth="1"/>
    <col min="11544" max="11780" width="9.140625" style="1"/>
    <col min="11781" max="11781" width="9.28515625" style="1" customWidth="1"/>
    <col min="11782" max="11782" width="1.7109375" style="1" customWidth="1"/>
    <col min="11783" max="11786" width="12" style="1" customWidth="1"/>
    <col min="11787" max="11787" width="11.85546875" style="1" customWidth="1"/>
    <col min="11788" max="11788" width="10.7109375" style="1" customWidth="1"/>
    <col min="11789" max="11789" width="10.5703125" style="1" customWidth="1"/>
    <col min="11790" max="11790" width="1.140625" style="1" customWidth="1"/>
    <col min="11791" max="11791" width="11.28515625" style="1" customWidth="1"/>
    <col min="11792" max="11792" width="12.7109375" style="1" customWidth="1"/>
    <col min="11793" max="11793" width="11.5703125" style="1" customWidth="1"/>
    <col min="11794" max="11794" width="12.42578125" style="1" customWidth="1"/>
    <col min="11795" max="11795" width="1.5703125" style="1" customWidth="1"/>
    <col min="11796" max="11796" width="11.42578125" style="1" customWidth="1"/>
    <col min="11797" max="11797" width="12.140625" style="1" customWidth="1"/>
    <col min="11798" max="11798" width="1.7109375" style="1" customWidth="1"/>
    <col min="11799" max="11799" width="13.5703125" style="1" customWidth="1"/>
    <col min="11800" max="12036" width="9.140625" style="1"/>
    <col min="12037" max="12037" width="9.28515625" style="1" customWidth="1"/>
    <col min="12038" max="12038" width="1.7109375" style="1" customWidth="1"/>
    <col min="12039" max="12042" width="12" style="1" customWidth="1"/>
    <col min="12043" max="12043" width="11.85546875" style="1" customWidth="1"/>
    <col min="12044" max="12044" width="10.7109375" style="1" customWidth="1"/>
    <col min="12045" max="12045" width="10.5703125" style="1" customWidth="1"/>
    <col min="12046" max="12046" width="1.140625" style="1" customWidth="1"/>
    <col min="12047" max="12047" width="11.28515625" style="1" customWidth="1"/>
    <col min="12048" max="12048" width="12.7109375" style="1" customWidth="1"/>
    <col min="12049" max="12049" width="11.5703125" style="1" customWidth="1"/>
    <col min="12050" max="12050" width="12.42578125" style="1" customWidth="1"/>
    <col min="12051" max="12051" width="1.5703125" style="1" customWidth="1"/>
    <col min="12052" max="12052" width="11.42578125" style="1" customWidth="1"/>
    <col min="12053" max="12053" width="12.140625" style="1" customWidth="1"/>
    <col min="12054" max="12054" width="1.7109375" style="1" customWidth="1"/>
    <col min="12055" max="12055" width="13.5703125" style="1" customWidth="1"/>
    <col min="12056" max="12292" width="9.140625" style="1"/>
    <col min="12293" max="12293" width="9.28515625" style="1" customWidth="1"/>
    <col min="12294" max="12294" width="1.7109375" style="1" customWidth="1"/>
    <col min="12295" max="12298" width="12" style="1" customWidth="1"/>
    <col min="12299" max="12299" width="11.85546875" style="1" customWidth="1"/>
    <col min="12300" max="12300" width="10.7109375" style="1" customWidth="1"/>
    <col min="12301" max="12301" width="10.5703125" style="1" customWidth="1"/>
    <col min="12302" max="12302" width="1.140625" style="1" customWidth="1"/>
    <col min="12303" max="12303" width="11.28515625" style="1" customWidth="1"/>
    <col min="12304" max="12304" width="12.7109375" style="1" customWidth="1"/>
    <col min="12305" max="12305" width="11.5703125" style="1" customWidth="1"/>
    <col min="12306" max="12306" width="12.42578125" style="1" customWidth="1"/>
    <col min="12307" max="12307" width="1.5703125" style="1" customWidth="1"/>
    <col min="12308" max="12308" width="11.42578125" style="1" customWidth="1"/>
    <col min="12309" max="12309" width="12.140625" style="1" customWidth="1"/>
    <col min="12310" max="12310" width="1.7109375" style="1" customWidth="1"/>
    <col min="12311" max="12311" width="13.5703125" style="1" customWidth="1"/>
    <col min="12312" max="12548" width="9.140625" style="1"/>
    <col min="12549" max="12549" width="9.28515625" style="1" customWidth="1"/>
    <col min="12550" max="12550" width="1.7109375" style="1" customWidth="1"/>
    <col min="12551" max="12554" width="12" style="1" customWidth="1"/>
    <col min="12555" max="12555" width="11.85546875" style="1" customWidth="1"/>
    <col min="12556" max="12556" width="10.7109375" style="1" customWidth="1"/>
    <col min="12557" max="12557" width="10.5703125" style="1" customWidth="1"/>
    <col min="12558" max="12558" width="1.140625" style="1" customWidth="1"/>
    <col min="12559" max="12559" width="11.28515625" style="1" customWidth="1"/>
    <col min="12560" max="12560" width="12.7109375" style="1" customWidth="1"/>
    <col min="12561" max="12561" width="11.5703125" style="1" customWidth="1"/>
    <col min="12562" max="12562" width="12.42578125" style="1" customWidth="1"/>
    <col min="12563" max="12563" width="1.5703125" style="1" customWidth="1"/>
    <col min="12564" max="12564" width="11.42578125" style="1" customWidth="1"/>
    <col min="12565" max="12565" width="12.140625" style="1" customWidth="1"/>
    <col min="12566" max="12566" width="1.7109375" style="1" customWidth="1"/>
    <col min="12567" max="12567" width="13.5703125" style="1" customWidth="1"/>
    <col min="12568" max="12804" width="9.140625" style="1"/>
    <col min="12805" max="12805" width="9.28515625" style="1" customWidth="1"/>
    <col min="12806" max="12806" width="1.7109375" style="1" customWidth="1"/>
    <col min="12807" max="12810" width="12" style="1" customWidth="1"/>
    <col min="12811" max="12811" width="11.85546875" style="1" customWidth="1"/>
    <col min="12812" max="12812" width="10.7109375" style="1" customWidth="1"/>
    <col min="12813" max="12813" width="10.5703125" style="1" customWidth="1"/>
    <col min="12814" max="12814" width="1.140625" style="1" customWidth="1"/>
    <col min="12815" max="12815" width="11.28515625" style="1" customWidth="1"/>
    <col min="12816" max="12816" width="12.7109375" style="1" customWidth="1"/>
    <col min="12817" max="12817" width="11.5703125" style="1" customWidth="1"/>
    <col min="12818" max="12818" width="12.42578125" style="1" customWidth="1"/>
    <col min="12819" max="12819" width="1.5703125" style="1" customWidth="1"/>
    <col min="12820" max="12820" width="11.42578125" style="1" customWidth="1"/>
    <col min="12821" max="12821" width="12.140625" style="1" customWidth="1"/>
    <col min="12822" max="12822" width="1.7109375" style="1" customWidth="1"/>
    <col min="12823" max="12823" width="13.5703125" style="1" customWidth="1"/>
    <col min="12824" max="13060" width="9.140625" style="1"/>
    <col min="13061" max="13061" width="9.28515625" style="1" customWidth="1"/>
    <col min="13062" max="13062" width="1.7109375" style="1" customWidth="1"/>
    <col min="13063" max="13066" width="12" style="1" customWidth="1"/>
    <col min="13067" max="13067" width="11.85546875" style="1" customWidth="1"/>
    <col min="13068" max="13068" width="10.7109375" style="1" customWidth="1"/>
    <col min="13069" max="13069" width="10.5703125" style="1" customWidth="1"/>
    <col min="13070" max="13070" width="1.140625" style="1" customWidth="1"/>
    <col min="13071" max="13071" width="11.28515625" style="1" customWidth="1"/>
    <col min="13072" max="13072" width="12.7109375" style="1" customWidth="1"/>
    <col min="13073" max="13073" width="11.5703125" style="1" customWidth="1"/>
    <col min="13074" max="13074" width="12.42578125" style="1" customWidth="1"/>
    <col min="13075" max="13075" width="1.5703125" style="1" customWidth="1"/>
    <col min="13076" max="13076" width="11.42578125" style="1" customWidth="1"/>
    <col min="13077" max="13077" width="12.140625" style="1" customWidth="1"/>
    <col min="13078" max="13078" width="1.7109375" style="1" customWidth="1"/>
    <col min="13079" max="13079" width="13.5703125" style="1" customWidth="1"/>
    <col min="13080" max="13316" width="9.140625" style="1"/>
    <col min="13317" max="13317" width="9.28515625" style="1" customWidth="1"/>
    <col min="13318" max="13318" width="1.7109375" style="1" customWidth="1"/>
    <col min="13319" max="13322" width="12" style="1" customWidth="1"/>
    <col min="13323" max="13323" width="11.85546875" style="1" customWidth="1"/>
    <col min="13324" max="13324" width="10.7109375" style="1" customWidth="1"/>
    <col min="13325" max="13325" width="10.5703125" style="1" customWidth="1"/>
    <col min="13326" max="13326" width="1.140625" style="1" customWidth="1"/>
    <col min="13327" max="13327" width="11.28515625" style="1" customWidth="1"/>
    <col min="13328" max="13328" width="12.7109375" style="1" customWidth="1"/>
    <col min="13329" max="13329" width="11.5703125" style="1" customWidth="1"/>
    <col min="13330" max="13330" width="12.42578125" style="1" customWidth="1"/>
    <col min="13331" max="13331" width="1.5703125" style="1" customWidth="1"/>
    <col min="13332" max="13332" width="11.42578125" style="1" customWidth="1"/>
    <col min="13333" max="13333" width="12.140625" style="1" customWidth="1"/>
    <col min="13334" max="13334" width="1.7109375" style="1" customWidth="1"/>
    <col min="13335" max="13335" width="13.5703125" style="1" customWidth="1"/>
    <col min="13336" max="13572" width="9.140625" style="1"/>
    <col min="13573" max="13573" width="9.28515625" style="1" customWidth="1"/>
    <col min="13574" max="13574" width="1.7109375" style="1" customWidth="1"/>
    <col min="13575" max="13578" width="12" style="1" customWidth="1"/>
    <col min="13579" max="13579" width="11.85546875" style="1" customWidth="1"/>
    <col min="13580" max="13580" width="10.7109375" style="1" customWidth="1"/>
    <col min="13581" max="13581" width="10.5703125" style="1" customWidth="1"/>
    <col min="13582" max="13582" width="1.140625" style="1" customWidth="1"/>
    <col min="13583" max="13583" width="11.28515625" style="1" customWidth="1"/>
    <col min="13584" max="13584" width="12.7109375" style="1" customWidth="1"/>
    <col min="13585" max="13585" width="11.5703125" style="1" customWidth="1"/>
    <col min="13586" max="13586" width="12.42578125" style="1" customWidth="1"/>
    <col min="13587" max="13587" width="1.5703125" style="1" customWidth="1"/>
    <col min="13588" max="13588" width="11.42578125" style="1" customWidth="1"/>
    <col min="13589" max="13589" width="12.140625" style="1" customWidth="1"/>
    <col min="13590" max="13590" width="1.7109375" style="1" customWidth="1"/>
    <col min="13591" max="13591" width="13.5703125" style="1" customWidth="1"/>
    <col min="13592" max="13828" width="9.140625" style="1"/>
    <col min="13829" max="13829" width="9.28515625" style="1" customWidth="1"/>
    <col min="13830" max="13830" width="1.7109375" style="1" customWidth="1"/>
    <col min="13831" max="13834" width="12" style="1" customWidth="1"/>
    <col min="13835" max="13835" width="11.85546875" style="1" customWidth="1"/>
    <col min="13836" max="13836" width="10.7109375" style="1" customWidth="1"/>
    <col min="13837" max="13837" width="10.5703125" style="1" customWidth="1"/>
    <col min="13838" max="13838" width="1.140625" style="1" customWidth="1"/>
    <col min="13839" max="13839" width="11.28515625" style="1" customWidth="1"/>
    <col min="13840" max="13840" width="12.7109375" style="1" customWidth="1"/>
    <col min="13841" max="13841" width="11.5703125" style="1" customWidth="1"/>
    <col min="13842" max="13842" width="12.42578125" style="1" customWidth="1"/>
    <col min="13843" max="13843" width="1.5703125" style="1" customWidth="1"/>
    <col min="13844" max="13844" width="11.42578125" style="1" customWidth="1"/>
    <col min="13845" max="13845" width="12.140625" style="1" customWidth="1"/>
    <col min="13846" max="13846" width="1.7109375" style="1" customWidth="1"/>
    <col min="13847" max="13847" width="13.5703125" style="1" customWidth="1"/>
    <col min="13848" max="14084" width="9.140625" style="1"/>
    <col min="14085" max="14085" width="9.28515625" style="1" customWidth="1"/>
    <col min="14086" max="14086" width="1.7109375" style="1" customWidth="1"/>
    <col min="14087" max="14090" width="12" style="1" customWidth="1"/>
    <col min="14091" max="14091" width="11.85546875" style="1" customWidth="1"/>
    <col min="14092" max="14092" width="10.7109375" style="1" customWidth="1"/>
    <col min="14093" max="14093" width="10.5703125" style="1" customWidth="1"/>
    <col min="14094" max="14094" width="1.140625" style="1" customWidth="1"/>
    <col min="14095" max="14095" width="11.28515625" style="1" customWidth="1"/>
    <col min="14096" max="14096" width="12.7109375" style="1" customWidth="1"/>
    <col min="14097" max="14097" width="11.5703125" style="1" customWidth="1"/>
    <col min="14098" max="14098" width="12.42578125" style="1" customWidth="1"/>
    <col min="14099" max="14099" width="1.5703125" style="1" customWidth="1"/>
    <col min="14100" max="14100" width="11.42578125" style="1" customWidth="1"/>
    <col min="14101" max="14101" width="12.140625" style="1" customWidth="1"/>
    <col min="14102" max="14102" width="1.7109375" style="1" customWidth="1"/>
    <col min="14103" max="14103" width="13.5703125" style="1" customWidth="1"/>
    <col min="14104" max="14340" width="9.140625" style="1"/>
    <col min="14341" max="14341" width="9.28515625" style="1" customWidth="1"/>
    <col min="14342" max="14342" width="1.7109375" style="1" customWidth="1"/>
    <col min="14343" max="14346" width="12" style="1" customWidth="1"/>
    <col min="14347" max="14347" width="11.85546875" style="1" customWidth="1"/>
    <col min="14348" max="14348" width="10.7109375" style="1" customWidth="1"/>
    <col min="14349" max="14349" width="10.5703125" style="1" customWidth="1"/>
    <col min="14350" max="14350" width="1.140625" style="1" customWidth="1"/>
    <col min="14351" max="14351" width="11.28515625" style="1" customWidth="1"/>
    <col min="14352" max="14352" width="12.7109375" style="1" customWidth="1"/>
    <col min="14353" max="14353" width="11.5703125" style="1" customWidth="1"/>
    <col min="14354" max="14354" width="12.42578125" style="1" customWidth="1"/>
    <col min="14355" max="14355" width="1.5703125" style="1" customWidth="1"/>
    <col min="14356" max="14356" width="11.42578125" style="1" customWidth="1"/>
    <col min="14357" max="14357" width="12.140625" style="1" customWidth="1"/>
    <col min="14358" max="14358" width="1.7109375" style="1" customWidth="1"/>
    <col min="14359" max="14359" width="13.5703125" style="1" customWidth="1"/>
    <col min="14360" max="14596" width="9.140625" style="1"/>
    <col min="14597" max="14597" width="9.28515625" style="1" customWidth="1"/>
    <col min="14598" max="14598" width="1.7109375" style="1" customWidth="1"/>
    <col min="14599" max="14602" width="12" style="1" customWidth="1"/>
    <col min="14603" max="14603" width="11.85546875" style="1" customWidth="1"/>
    <col min="14604" max="14604" width="10.7109375" style="1" customWidth="1"/>
    <col min="14605" max="14605" width="10.5703125" style="1" customWidth="1"/>
    <col min="14606" max="14606" width="1.140625" style="1" customWidth="1"/>
    <col min="14607" max="14607" width="11.28515625" style="1" customWidth="1"/>
    <col min="14608" max="14608" width="12.7109375" style="1" customWidth="1"/>
    <col min="14609" max="14609" width="11.5703125" style="1" customWidth="1"/>
    <col min="14610" max="14610" width="12.42578125" style="1" customWidth="1"/>
    <col min="14611" max="14611" width="1.5703125" style="1" customWidth="1"/>
    <col min="14612" max="14612" width="11.42578125" style="1" customWidth="1"/>
    <col min="14613" max="14613" width="12.140625" style="1" customWidth="1"/>
    <col min="14614" max="14614" width="1.7109375" style="1" customWidth="1"/>
    <col min="14615" max="14615" width="13.5703125" style="1" customWidth="1"/>
    <col min="14616" max="14852" width="9.140625" style="1"/>
    <col min="14853" max="14853" width="9.28515625" style="1" customWidth="1"/>
    <col min="14854" max="14854" width="1.7109375" style="1" customWidth="1"/>
    <col min="14855" max="14858" width="12" style="1" customWidth="1"/>
    <col min="14859" max="14859" width="11.85546875" style="1" customWidth="1"/>
    <col min="14860" max="14860" width="10.7109375" style="1" customWidth="1"/>
    <col min="14861" max="14861" width="10.5703125" style="1" customWidth="1"/>
    <col min="14862" max="14862" width="1.140625" style="1" customWidth="1"/>
    <col min="14863" max="14863" width="11.28515625" style="1" customWidth="1"/>
    <col min="14864" max="14864" width="12.7109375" style="1" customWidth="1"/>
    <col min="14865" max="14865" width="11.5703125" style="1" customWidth="1"/>
    <col min="14866" max="14866" width="12.42578125" style="1" customWidth="1"/>
    <col min="14867" max="14867" width="1.5703125" style="1" customWidth="1"/>
    <col min="14868" max="14868" width="11.42578125" style="1" customWidth="1"/>
    <col min="14869" max="14869" width="12.140625" style="1" customWidth="1"/>
    <col min="14870" max="14870" width="1.7109375" style="1" customWidth="1"/>
    <col min="14871" max="14871" width="13.5703125" style="1" customWidth="1"/>
    <col min="14872" max="15108" width="9.140625" style="1"/>
    <col min="15109" max="15109" width="9.28515625" style="1" customWidth="1"/>
    <col min="15110" max="15110" width="1.7109375" style="1" customWidth="1"/>
    <col min="15111" max="15114" width="12" style="1" customWidth="1"/>
    <col min="15115" max="15115" width="11.85546875" style="1" customWidth="1"/>
    <col min="15116" max="15116" width="10.7109375" style="1" customWidth="1"/>
    <col min="15117" max="15117" width="10.5703125" style="1" customWidth="1"/>
    <col min="15118" max="15118" width="1.140625" style="1" customWidth="1"/>
    <col min="15119" max="15119" width="11.28515625" style="1" customWidth="1"/>
    <col min="15120" max="15120" width="12.7109375" style="1" customWidth="1"/>
    <col min="15121" max="15121" width="11.5703125" style="1" customWidth="1"/>
    <col min="15122" max="15122" width="12.42578125" style="1" customWidth="1"/>
    <col min="15123" max="15123" width="1.5703125" style="1" customWidth="1"/>
    <col min="15124" max="15124" width="11.42578125" style="1" customWidth="1"/>
    <col min="15125" max="15125" width="12.140625" style="1" customWidth="1"/>
    <col min="15126" max="15126" width="1.7109375" style="1" customWidth="1"/>
    <col min="15127" max="15127" width="13.5703125" style="1" customWidth="1"/>
    <col min="15128" max="15364" width="9.140625" style="1"/>
    <col min="15365" max="15365" width="9.28515625" style="1" customWidth="1"/>
    <col min="15366" max="15366" width="1.7109375" style="1" customWidth="1"/>
    <col min="15367" max="15370" width="12" style="1" customWidth="1"/>
    <col min="15371" max="15371" width="11.85546875" style="1" customWidth="1"/>
    <col min="15372" max="15372" width="10.7109375" style="1" customWidth="1"/>
    <col min="15373" max="15373" width="10.5703125" style="1" customWidth="1"/>
    <col min="15374" max="15374" width="1.140625" style="1" customWidth="1"/>
    <col min="15375" max="15375" width="11.28515625" style="1" customWidth="1"/>
    <col min="15376" max="15376" width="12.7109375" style="1" customWidth="1"/>
    <col min="15377" max="15377" width="11.5703125" style="1" customWidth="1"/>
    <col min="15378" max="15378" width="12.42578125" style="1" customWidth="1"/>
    <col min="15379" max="15379" width="1.5703125" style="1" customWidth="1"/>
    <col min="15380" max="15380" width="11.42578125" style="1" customWidth="1"/>
    <col min="15381" max="15381" width="12.140625" style="1" customWidth="1"/>
    <col min="15382" max="15382" width="1.7109375" style="1" customWidth="1"/>
    <col min="15383" max="15383" width="13.5703125" style="1" customWidth="1"/>
    <col min="15384" max="15620" width="9.140625" style="1"/>
    <col min="15621" max="15621" width="9.28515625" style="1" customWidth="1"/>
    <col min="15622" max="15622" width="1.7109375" style="1" customWidth="1"/>
    <col min="15623" max="15626" width="12" style="1" customWidth="1"/>
    <col min="15627" max="15627" width="11.85546875" style="1" customWidth="1"/>
    <col min="15628" max="15628" width="10.7109375" style="1" customWidth="1"/>
    <col min="15629" max="15629" width="10.5703125" style="1" customWidth="1"/>
    <col min="15630" max="15630" width="1.140625" style="1" customWidth="1"/>
    <col min="15631" max="15631" width="11.28515625" style="1" customWidth="1"/>
    <col min="15632" max="15632" width="12.7109375" style="1" customWidth="1"/>
    <col min="15633" max="15633" width="11.5703125" style="1" customWidth="1"/>
    <col min="15634" max="15634" width="12.42578125" style="1" customWidth="1"/>
    <col min="15635" max="15635" width="1.5703125" style="1" customWidth="1"/>
    <col min="15636" max="15636" width="11.42578125" style="1" customWidth="1"/>
    <col min="15637" max="15637" width="12.140625" style="1" customWidth="1"/>
    <col min="15638" max="15638" width="1.7109375" style="1" customWidth="1"/>
    <col min="15639" max="15639" width="13.5703125" style="1" customWidth="1"/>
    <col min="15640" max="15876" width="9.140625" style="1"/>
    <col min="15877" max="15877" width="9.28515625" style="1" customWidth="1"/>
    <col min="15878" max="15878" width="1.7109375" style="1" customWidth="1"/>
    <col min="15879" max="15882" width="12" style="1" customWidth="1"/>
    <col min="15883" max="15883" width="11.85546875" style="1" customWidth="1"/>
    <col min="15884" max="15884" width="10.7109375" style="1" customWidth="1"/>
    <col min="15885" max="15885" width="10.5703125" style="1" customWidth="1"/>
    <col min="15886" max="15886" width="1.140625" style="1" customWidth="1"/>
    <col min="15887" max="15887" width="11.28515625" style="1" customWidth="1"/>
    <col min="15888" max="15888" width="12.7109375" style="1" customWidth="1"/>
    <col min="15889" max="15889" width="11.5703125" style="1" customWidth="1"/>
    <col min="15890" max="15890" width="12.42578125" style="1" customWidth="1"/>
    <col min="15891" max="15891" width="1.5703125" style="1" customWidth="1"/>
    <col min="15892" max="15892" width="11.42578125" style="1" customWidth="1"/>
    <col min="15893" max="15893" width="12.140625" style="1" customWidth="1"/>
    <col min="15894" max="15894" width="1.7109375" style="1" customWidth="1"/>
    <col min="15895" max="15895" width="13.5703125" style="1" customWidth="1"/>
    <col min="15896" max="16132" width="9.140625" style="1"/>
    <col min="16133" max="16133" width="9.28515625" style="1" customWidth="1"/>
    <col min="16134" max="16134" width="1.7109375" style="1" customWidth="1"/>
    <col min="16135" max="16138" width="12" style="1" customWidth="1"/>
    <col min="16139" max="16139" width="11.85546875" style="1" customWidth="1"/>
    <col min="16140" max="16140" width="10.7109375" style="1" customWidth="1"/>
    <col min="16141" max="16141" width="10.5703125" style="1" customWidth="1"/>
    <col min="16142" max="16142" width="1.140625" style="1" customWidth="1"/>
    <col min="16143" max="16143" width="11.28515625" style="1" customWidth="1"/>
    <col min="16144" max="16144" width="12.7109375" style="1" customWidth="1"/>
    <col min="16145" max="16145" width="11.5703125" style="1" customWidth="1"/>
    <col min="16146" max="16146" width="12.42578125" style="1" customWidth="1"/>
    <col min="16147" max="16147" width="1.5703125" style="1" customWidth="1"/>
    <col min="16148" max="16148" width="11.42578125" style="1" customWidth="1"/>
    <col min="16149" max="16149" width="12.140625" style="1" customWidth="1"/>
    <col min="16150" max="16150" width="1.7109375" style="1" customWidth="1"/>
    <col min="16151" max="16151" width="13.5703125" style="1" customWidth="1"/>
    <col min="16152" max="16384" width="9.140625" style="1"/>
  </cols>
  <sheetData>
    <row r="1" spans="1:23" ht="18" x14ac:dyDescent="0.25">
      <c r="A1" s="86" t="s">
        <v>0</v>
      </c>
      <c r="B1" s="86"/>
      <c r="C1" s="86"/>
      <c r="D1" s="86"/>
      <c r="E1" s="86"/>
      <c r="F1" s="86"/>
      <c r="G1" s="86"/>
      <c r="H1" s="86"/>
      <c r="I1" s="86"/>
      <c r="J1" s="86"/>
      <c r="K1" s="86"/>
      <c r="L1" s="86"/>
      <c r="M1" s="86"/>
      <c r="N1" s="86"/>
      <c r="O1" s="86"/>
      <c r="P1" s="86"/>
      <c r="Q1" s="86"/>
      <c r="R1" s="86"/>
      <c r="S1" s="86"/>
      <c r="T1" s="86"/>
      <c r="U1" s="86"/>
      <c r="V1" s="86"/>
      <c r="W1" s="86"/>
    </row>
    <row r="2" spans="1:23" ht="15.75" x14ac:dyDescent="0.25">
      <c r="A2" s="87" t="s">
        <v>1</v>
      </c>
      <c r="B2" s="87"/>
      <c r="C2" s="87"/>
      <c r="D2" s="87"/>
      <c r="E2" s="87"/>
      <c r="F2" s="87"/>
      <c r="G2" s="87"/>
      <c r="H2" s="87"/>
      <c r="I2" s="87"/>
      <c r="J2" s="87"/>
      <c r="K2" s="87"/>
      <c r="L2" s="87"/>
      <c r="M2" s="87"/>
      <c r="N2" s="87"/>
      <c r="O2" s="87"/>
      <c r="P2" s="87"/>
      <c r="Q2" s="87"/>
      <c r="R2" s="87"/>
      <c r="S2" s="87"/>
      <c r="T2" s="87"/>
      <c r="U2" s="87"/>
      <c r="V2" s="87"/>
      <c r="W2" s="87"/>
    </row>
    <row r="3" spans="1:23" s="2" customFormat="1" ht="15.75" x14ac:dyDescent="0.25">
      <c r="A3" s="87" t="s">
        <v>2</v>
      </c>
      <c r="B3" s="87"/>
      <c r="C3" s="87"/>
      <c r="D3" s="87"/>
      <c r="E3" s="87"/>
      <c r="F3" s="87"/>
      <c r="G3" s="87"/>
      <c r="H3" s="87"/>
      <c r="I3" s="87"/>
      <c r="J3" s="87"/>
      <c r="K3" s="87"/>
      <c r="L3" s="87"/>
      <c r="M3" s="87"/>
      <c r="N3" s="87"/>
      <c r="O3" s="87"/>
      <c r="P3" s="87"/>
      <c r="Q3" s="87"/>
      <c r="R3" s="87"/>
      <c r="S3" s="87"/>
      <c r="T3" s="87"/>
      <c r="U3" s="87"/>
      <c r="V3" s="87"/>
      <c r="W3" s="87"/>
    </row>
    <row r="4" spans="1:23" s="2" customFormat="1" ht="14.25" customHeight="1" x14ac:dyDescent="0.25">
      <c r="A4" s="88" t="s">
        <v>3</v>
      </c>
      <c r="B4" s="88"/>
      <c r="C4" s="88"/>
      <c r="D4" s="88"/>
      <c r="E4" s="88"/>
      <c r="F4" s="88"/>
      <c r="G4" s="88"/>
      <c r="H4" s="88"/>
      <c r="I4" s="88"/>
      <c r="J4" s="88"/>
      <c r="K4" s="88"/>
      <c r="L4" s="88"/>
      <c r="M4" s="88"/>
      <c r="N4" s="88"/>
      <c r="O4" s="88"/>
      <c r="P4" s="88"/>
      <c r="Q4" s="88"/>
      <c r="R4" s="88"/>
      <c r="S4" s="88"/>
      <c r="T4" s="88"/>
      <c r="U4" s="88"/>
      <c r="V4" s="88"/>
      <c r="W4" s="88"/>
    </row>
    <row r="5" spans="1:23" s="2" customFormat="1" x14ac:dyDescent="0.25">
      <c r="A5" s="89" t="s">
        <v>4</v>
      </c>
      <c r="B5" s="89"/>
      <c r="C5" s="89"/>
      <c r="D5" s="89"/>
      <c r="E5" s="89"/>
      <c r="F5" s="89"/>
      <c r="G5" s="89"/>
      <c r="H5" s="89"/>
      <c r="I5" s="89"/>
      <c r="J5" s="89"/>
      <c r="K5" s="89"/>
      <c r="L5" s="89"/>
      <c r="M5" s="89"/>
      <c r="N5" s="89"/>
      <c r="O5" s="89"/>
      <c r="P5" s="89"/>
      <c r="Q5" s="89"/>
      <c r="R5" s="89"/>
      <c r="S5" s="89"/>
      <c r="T5" s="89"/>
      <c r="U5" s="89"/>
      <c r="V5" s="89"/>
      <c r="W5" s="89"/>
    </row>
    <row r="6" spans="1:23" s="2" customFormat="1" x14ac:dyDescent="0.25">
      <c r="A6" s="72"/>
      <c r="B6" s="72"/>
      <c r="C6" s="72"/>
      <c r="D6" s="72"/>
      <c r="E6" s="72"/>
      <c r="F6" s="72"/>
      <c r="G6" s="72"/>
      <c r="H6" s="72"/>
      <c r="I6" s="72"/>
      <c r="J6" s="72"/>
      <c r="K6" s="72"/>
      <c r="L6" s="72"/>
      <c r="M6" s="72"/>
      <c r="N6" s="72"/>
      <c r="O6" s="72"/>
      <c r="P6" s="72"/>
      <c r="Q6" s="72"/>
      <c r="R6" s="72"/>
      <c r="S6" s="73"/>
      <c r="T6" s="72"/>
      <c r="U6" s="72"/>
    </row>
    <row r="7" spans="1:23" s="2" customFormat="1" x14ac:dyDescent="0.25">
      <c r="A7" s="4"/>
      <c r="B7" s="4"/>
      <c r="C7" s="5"/>
      <c r="D7" s="5"/>
      <c r="E7" s="5"/>
      <c r="F7" s="5"/>
      <c r="G7" s="5"/>
      <c r="H7" s="6"/>
      <c r="I7" s="7"/>
      <c r="J7" s="6"/>
      <c r="K7" s="6"/>
      <c r="L7" s="6"/>
      <c r="M7" s="6"/>
      <c r="N7" s="6"/>
      <c r="O7" s="6"/>
      <c r="P7" s="6"/>
      <c r="Q7" s="6"/>
      <c r="R7" s="6"/>
      <c r="S7" s="6"/>
      <c r="T7" s="6"/>
      <c r="U7" s="6"/>
    </row>
    <row r="8" spans="1:23" s="8" customFormat="1" ht="14.25" customHeight="1" x14ac:dyDescent="0.25">
      <c r="A8" s="83" t="s">
        <v>76</v>
      </c>
      <c r="B8" s="84"/>
      <c r="C8" s="84"/>
      <c r="D8" s="84"/>
      <c r="E8" s="84"/>
      <c r="F8" s="84"/>
      <c r="G8" s="84"/>
      <c r="H8" s="84"/>
      <c r="I8" s="84"/>
      <c r="J8" s="84"/>
      <c r="K8" s="84"/>
      <c r="L8" s="84"/>
      <c r="M8" s="84"/>
      <c r="N8" s="84"/>
      <c r="O8" s="84"/>
      <c r="P8" s="84"/>
      <c r="Q8" s="84"/>
      <c r="R8" s="84"/>
      <c r="S8" s="84"/>
      <c r="T8" s="84"/>
      <c r="U8" s="84"/>
      <c r="V8" s="84"/>
      <c r="W8" s="85"/>
    </row>
    <row r="9" spans="1:23" s="2" customFormat="1" ht="9" customHeight="1" x14ac:dyDescent="0.25">
      <c r="A9" s="4"/>
      <c r="B9" s="4"/>
      <c r="C9" s="5"/>
      <c r="D9" s="5"/>
      <c r="E9" s="5"/>
      <c r="F9" s="5"/>
      <c r="G9" s="5"/>
      <c r="H9" s="6"/>
      <c r="I9" s="7"/>
      <c r="J9" s="6"/>
      <c r="K9" s="6"/>
      <c r="L9" s="6"/>
      <c r="M9" s="6"/>
      <c r="N9" s="6"/>
      <c r="O9" s="6"/>
      <c r="P9" s="6"/>
      <c r="Q9" s="6"/>
      <c r="R9" s="6"/>
      <c r="S9" s="6"/>
      <c r="T9" s="6"/>
      <c r="U9" s="6"/>
    </row>
    <row r="10" spans="1:23" s="13" customFormat="1" ht="12.75" x14ac:dyDescent="0.2">
      <c r="A10" s="9"/>
      <c r="B10" s="9"/>
      <c r="C10" s="91" t="s">
        <v>6</v>
      </c>
      <c r="D10" s="92"/>
      <c r="E10" s="92"/>
      <c r="F10" s="92"/>
      <c r="G10" s="92"/>
      <c r="H10" s="92"/>
      <c r="I10" s="92"/>
      <c r="J10" s="10"/>
      <c r="K10" s="11"/>
      <c r="L10" s="91" t="s">
        <v>7</v>
      </c>
      <c r="M10" s="92"/>
      <c r="N10" s="92"/>
      <c r="O10" s="93"/>
      <c r="P10" s="12"/>
      <c r="Q10" s="91" t="s">
        <v>8</v>
      </c>
      <c r="R10" s="93"/>
      <c r="S10" s="67"/>
      <c r="T10" s="91" t="s">
        <v>70</v>
      </c>
      <c r="U10" s="93"/>
    </row>
    <row r="11" spans="1:23" s="18" customFormat="1" ht="12" x14ac:dyDescent="0.2">
      <c r="A11" s="14"/>
      <c r="B11" s="14"/>
      <c r="C11" s="15"/>
      <c r="D11" s="16" t="s">
        <v>9</v>
      </c>
      <c r="E11" s="15"/>
      <c r="F11" s="16" t="s">
        <v>10</v>
      </c>
      <c r="G11" s="15"/>
      <c r="H11" s="17" t="s">
        <v>11</v>
      </c>
      <c r="I11" s="15"/>
      <c r="J11" s="15"/>
      <c r="K11" s="15"/>
      <c r="L11" s="16" t="s">
        <v>10</v>
      </c>
      <c r="M11" s="16"/>
      <c r="N11" s="16" t="s">
        <v>9</v>
      </c>
      <c r="O11" s="16" t="s">
        <v>10</v>
      </c>
      <c r="Q11" s="16" t="s">
        <v>10</v>
      </c>
      <c r="R11" s="16" t="s">
        <v>10</v>
      </c>
      <c r="S11" s="16"/>
      <c r="T11" s="16" t="s">
        <v>77</v>
      </c>
      <c r="U11" s="16" t="s">
        <v>77</v>
      </c>
      <c r="W11" s="16" t="s">
        <v>10</v>
      </c>
    </row>
    <row r="12" spans="1:23" s="21" customFormat="1" ht="12" x14ac:dyDescent="0.2">
      <c r="A12" s="19"/>
      <c r="B12" s="19"/>
      <c r="C12" s="16" t="s">
        <v>12</v>
      </c>
      <c r="D12" s="20" t="s">
        <v>13</v>
      </c>
      <c r="E12" s="16" t="s">
        <v>12</v>
      </c>
      <c r="F12" s="16" t="s">
        <v>14</v>
      </c>
      <c r="G12" s="16"/>
      <c r="H12" s="17" t="s">
        <v>15</v>
      </c>
      <c r="I12" s="16" t="s">
        <v>16</v>
      </c>
      <c r="J12" s="16"/>
      <c r="K12" s="16"/>
      <c r="L12" s="21" t="s">
        <v>11</v>
      </c>
      <c r="M12" s="16" t="s">
        <v>17</v>
      </c>
      <c r="N12" s="16" t="s">
        <v>17</v>
      </c>
      <c r="O12" s="16" t="s">
        <v>17</v>
      </c>
      <c r="Q12" s="21" t="s">
        <v>11</v>
      </c>
      <c r="R12" s="16" t="s">
        <v>18</v>
      </c>
      <c r="S12" s="16"/>
      <c r="T12" s="16" t="s">
        <v>78</v>
      </c>
      <c r="U12" s="16" t="s">
        <v>78</v>
      </c>
      <c r="W12" s="16" t="s">
        <v>10</v>
      </c>
    </row>
    <row r="13" spans="1:23" s="21" customFormat="1" ht="12" x14ac:dyDescent="0.2">
      <c r="A13" s="22" t="s">
        <v>19</v>
      </c>
      <c r="B13" s="22"/>
      <c r="C13" s="23" t="s">
        <v>20</v>
      </c>
      <c r="D13" s="23" t="s">
        <v>12</v>
      </c>
      <c r="E13" s="23" t="s">
        <v>21</v>
      </c>
      <c r="F13" s="23" t="s">
        <v>22</v>
      </c>
      <c r="G13" s="23"/>
      <c r="H13" s="24" t="s">
        <v>23</v>
      </c>
      <c r="I13" s="23" t="s">
        <v>24</v>
      </c>
      <c r="J13" s="20"/>
      <c r="K13" s="20"/>
      <c r="L13" s="23" t="s">
        <v>25</v>
      </c>
      <c r="M13" s="23" t="s">
        <v>26</v>
      </c>
      <c r="N13" s="23" t="s">
        <v>12</v>
      </c>
      <c r="O13" s="23" t="s">
        <v>22</v>
      </c>
      <c r="P13" s="25"/>
      <c r="Q13" s="23" t="s">
        <v>8</v>
      </c>
      <c r="R13" s="23" t="s">
        <v>22</v>
      </c>
      <c r="S13" s="20"/>
      <c r="T13" s="23" t="s">
        <v>79</v>
      </c>
      <c r="U13" s="23" t="s">
        <v>22</v>
      </c>
      <c r="W13" s="23" t="s">
        <v>27</v>
      </c>
    </row>
    <row r="14" spans="1:23" x14ac:dyDescent="0.25">
      <c r="A14" s="4">
        <v>44287</v>
      </c>
      <c r="C14" s="26">
        <v>93514153.969999999</v>
      </c>
      <c r="D14" s="26">
        <v>943711.61</v>
      </c>
      <c r="E14" s="26">
        <v>85460997.549999997</v>
      </c>
      <c r="F14" s="26">
        <v>7109444.8099999996</v>
      </c>
      <c r="G14" s="26"/>
      <c r="H14" s="27">
        <v>534</v>
      </c>
      <c r="I14" s="26">
        <f>F14/H14/30</f>
        <v>443.78556866416977</v>
      </c>
      <c r="J14" s="26"/>
      <c r="L14" s="27">
        <v>21</v>
      </c>
      <c r="M14" s="26">
        <v>3824937</v>
      </c>
      <c r="N14" s="26">
        <v>102650</v>
      </c>
      <c r="O14" s="26">
        <v>568608.22</v>
      </c>
      <c r="Q14" s="27">
        <v>0</v>
      </c>
      <c r="R14" s="26">
        <v>0</v>
      </c>
      <c r="S14" s="26"/>
      <c r="T14" s="26">
        <v>914898</v>
      </c>
      <c r="U14" s="26">
        <v>65074.3</v>
      </c>
      <c r="W14" s="26">
        <f t="shared" ref="W14:W25" si="0">F14+O14+R14+U14</f>
        <v>7743127.3299999991</v>
      </c>
    </row>
    <row r="15" spans="1:23" x14ac:dyDescent="0.25">
      <c r="A15" s="4">
        <v>44317</v>
      </c>
      <c r="C15" s="26">
        <v>97169780.159999996</v>
      </c>
      <c r="D15" s="26">
        <v>991694.52</v>
      </c>
      <c r="E15" s="26">
        <v>89091201.920000002</v>
      </c>
      <c r="F15" s="26">
        <v>7086883.7199999997</v>
      </c>
      <c r="G15" s="29"/>
      <c r="H15" s="27">
        <v>574</v>
      </c>
      <c r="I15" s="26">
        <f>F15/H15/31</f>
        <v>398.27378442171516</v>
      </c>
      <c r="J15" s="26"/>
      <c r="K15" s="29"/>
      <c r="L15" s="27">
        <v>21</v>
      </c>
      <c r="M15" s="26">
        <v>3894319</v>
      </c>
      <c r="N15" s="26">
        <v>96715</v>
      </c>
      <c r="O15" s="26">
        <v>787533.8</v>
      </c>
      <c r="P15" s="29"/>
      <c r="Q15" s="27">
        <v>0</v>
      </c>
      <c r="R15" s="26">
        <v>0</v>
      </c>
      <c r="S15" s="26"/>
      <c r="T15" s="26">
        <v>624030.5</v>
      </c>
      <c r="U15" s="26">
        <v>85549.5</v>
      </c>
      <c r="W15" s="26">
        <f t="shared" si="0"/>
        <v>7959967.0199999996</v>
      </c>
    </row>
    <row r="16" spans="1:23" x14ac:dyDescent="0.25">
      <c r="A16" s="4">
        <v>44348</v>
      </c>
      <c r="C16" s="26">
        <v>90821302.769999996</v>
      </c>
      <c r="D16" s="26">
        <v>941794.45</v>
      </c>
      <c r="E16" s="26">
        <v>83667671.579999998</v>
      </c>
      <c r="F16" s="26">
        <v>6211836.7400000002</v>
      </c>
      <c r="G16" s="29"/>
      <c r="H16" s="27">
        <v>690</v>
      </c>
      <c r="I16" s="26">
        <v>300</v>
      </c>
      <c r="J16" s="26"/>
      <c r="K16" s="29"/>
      <c r="L16" s="27">
        <v>21</v>
      </c>
      <c r="M16" s="26">
        <v>3725756</v>
      </c>
      <c r="N16" s="26">
        <v>94770</v>
      </c>
      <c r="O16" s="26">
        <v>760661.56</v>
      </c>
      <c r="P16" s="29"/>
      <c r="Q16" s="27">
        <v>0</v>
      </c>
      <c r="R16" s="26">
        <v>0</v>
      </c>
      <c r="S16" s="26"/>
      <c r="T16" s="26">
        <v>1110257.25</v>
      </c>
      <c r="U16" s="26">
        <v>147196.75</v>
      </c>
      <c r="W16" s="26">
        <f t="shared" si="0"/>
        <v>7119695.0500000007</v>
      </c>
    </row>
    <row r="17" spans="1:23" x14ac:dyDescent="0.25">
      <c r="A17" s="4">
        <v>44378</v>
      </c>
      <c r="C17" s="26">
        <v>106993390.2</v>
      </c>
      <c r="D17" s="26">
        <v>1090977.51</v>
      </c>
      <c r="E17" s="26">
        <v>97970858.590000004</v>
      </c>
      <c r="F17" s="26">
        <v>7931554.0999999996</v>
      </c>
      <c r="G17" s="30"/>
      <c r="H17" s="27">
        <v>896</v>
      </c>
      <c r="I17" s="26">
        <v>286</v>
      </c>
      <c r="J17" s="26"/>
      <c r="K17" s="30"/>
      <c r="L17" s="27">
        <v>25</v>
      </c>
      <c r="M17" s="26">
        <v>4752105</v>
      </c>
      <c r="N17" s="26">
        <v>119295</v>
      </c>
      <c r="O17" s="26">
        <v>750937.45</v>
      </c>
      <c r="P17" s="30"/>
      <c r="Q17" s="27">
        <v>0</v>
      </c>
      <c r="R17" s="26">
        <v>0</v>
      </c>
      <c r="S17" s="26"/>
      <c r="T17" s="26">
        <v>548244</v>
      </c>
      <c r="U17" s="26">
        <v>119289.75</v>
      </c>
      <c r="V17" s="30"/>
      <c r="W17" s="26">
        <f t="shared" si="0"/>
        <v>8801781.2999999989</v>
      </c>
    </row>
    <row r="18" spans="1:23" x14ac:dyDescent="0.25">
      <c r="A18" s="4">
        <v>44409</v>
      </c>
      <c r="C18" s="26">
        <v>100441510.70999999</v>
      </c>
      <c r="D18" s="26">
        <v>1060495.1100000001</v>
      </c>
      <c r="E18" s="26">
        <v>92111262.659999996</v>
      </c>
      <c r="F18" s="26">
        <v>7269752.9400000004</v>
      </c>
      <c r="G18" s="30"/>
      <c r="H18" s="27">
        <v>893</v>
      </c>
      <c r="I18" s="26">
        <v>263</v>
      </c>
      <c r="J18" s="26"/>
      <c r="K18" s="30"/>
      <c r="L18" s="27">
        <v>27.48</v>
      </c>
      <c r="M18" s="26">
        <v>4533996</v>
      </c>
      <c r="N18" s="26">
        <v>100330</v>
      </c>
      <c r="O18" s="26">
        <v>729619.81</v>
      </c>
      <c r="P18" s="30"/>
      <c r="Q18" s="27">
        <v>0</v>
      </c>
      <c r="R18" s="26">
        <v>0</v>
      </c>
      <c r="S18" s="26"/>
      <c r="T18" s="26">
        <v>546471.25</v>
      </c>
      <c r="U18" s="26">
        <v>51738.5</v>
      </c>
      <c r="V18" s="30"/>
      <c r="W18" s="26">
        <f t="shared" si="0"/>
        <v>8051111.25</v>
      </c>
    </row>
    <row r="19" spans="1:23" x14ac:dyDescent="0.25">
      <c r="A19" s="4">
        <v>44440</v>
      </c>
      <c r="C19" s="26">
        <v>95885722.969999999</v>
      </c>
      <c r="D19" s="26">
        <v>1050145.53</v>
      </c>
      <c r="E19" s="26">
        <v>88038514.200000003</v>
      </c>
      <c r="F19" s="26">
        <v>6797063.2400000002</v>
      </c>
      <c r="G19" s="30"/>
      <c r="H19" s="27">
        <v>893</v>
      </c>
      <c r="I19" s="26">
        <v>254</v>
      </c>
      <c r="J19" s="26"/>
      <c r="K19" s="30"/>
      <c r="L19" s="27">
        <v>28</v>
      </c>
      <c r="M19" s="26">
        <v>4810657</v>
      </c>
      <c r="N19" s="26">
        <v>114710</v>
      </c>
      <c r="O19" s="26">
        <v>944758.53</v>
      </c>
      <c r="P19" s="30"/>
      <c r="Q19" s="27">
        <v>6</v>
      </c>
      <c r="R19" s="26">
        <v>56764</v>
      </c>
      <c r="S19" s="26"/>
      <c r="T19" s="26">
        <v>1253371.5</v>
      </c>
      <c r="U19" s="26">
        <v>188608.25</v>
      </c>
      <c r="V19" s="30"/>
      <c r="W19" s="26">
        <f t="shared" si="0"/>
        <v>7987194.0200000005</v>
      </c>
    </row>
    <row r="20" spans="1:23" x14ac:dyDescent="0.25">
      <c r="A20" s="4">
        <v>44470</v>
      </c>
      <c r="C20" s="26">
        <v>100859517.76000001</v>
      </c>
      <c r="D20" s="26">
        <v>1196871.78</v>
      </c>
      <c r="E20" s="26">
        <v>92171991.609999999</v>
      </c>
      <c r="F20" s="26">
        <v>7490654.3700000001</v>
      </c>
      <c r="G20" s="30"/>
      <c r="H20" s="27">
        <v>894</v>
      </c>
      <c r="I20" s="26">
        <v>270</v>
      </c>
      <c r="J20" s="26"/>
      <c r="K20" s="30"/>
      <c r="L20" s="27">
        <v>28</v>
      </c>
      <c r="M20" s="26">
        <v>5436753</v>
      </c>
      <c r="N20" s="26">
        <v>130830</v>
      </c>
      <c r="O20" s="26">
        <v>899973.87</v>
      </c>
      <c r="P20" s="30"/>
      <c r="Q20" s="27">
        <v>6</v>
      </c>
      <c r="R20" s="26">
        <v>51249</v>
      </c>
      <c r="S20" s="26"/>
      <c r="T20" s="26">
        <v>2242785.75</v>
      </c>
      <c r="U20" s="26">
        <v>43152.15</v>
      </c>
      <c r="V20" s="30"/>
      <c r="W20" s="26">
        <f t="shared" si="0"/>
        <v>8485029.3900000006</v>
      </c>
    </row>
    <row r="21" spans="1:23" x14ac:dyDescent="0.25">
      <c r="A21" s="4">
        <v>44501</v>
      </c>
      <c r="C21" s="26">
        <v>87710091.129999995</v>
      </c>
      <c r="D21" s="26">
        <v>1005733.62</v>
      </c>
      <c r="E21" s="26">
        <v>80313651.019999996</v>
      </c>
      <c r="F21" s="26">
        <v>6390706.4900000002</v>
      </c>
      <c r="G21" s="30"/>
      <c r="H21" s="27">
        <v>894</v>
      </c>
      <c r="I21" s="26">
        <v>238</v>
      </c>
      <c r="J21" s="26"/>
      <c r="K21" s="30"/>
      <c r="L21" s="27">
        <v>28</v>
      </c>
      <c r="M21" s="26">
        <v>4739270</v>
      </c>
      <c r="N21" s="26">
        <v>112480</v>
      </c>
      <c r="O21" s="26">
        <v>954253.04</v>
      </c>
      <c r="P21" s="30"/>
      <c r="Q21" s="27">
        <v>6</v>
      </c>
      <c r="R21" s="26">
        <v>50116</v>
      </c>
      <c r="S21" s="26"/>
      <c r="T21" s="26">
        <v>1695664.5</v>
      </c>
      <c r="U21" s="26">
        <v>408552.25</v>
      </c>
      <c r="V21" s="30"/>
      <c r="W21" s="26">
        <f t="shared" si="0"/>
        <v>7803627.7800000003</v>
      </c>
    </row>
    <row r="22" spans="1:23" x14ac:dyDescent="0.25">
      <c r="A22" s="4">
        <v>44531</v>
      </c>
      <c r="C22" s="26">
        <v>87418577.670000002</v>
      </c>
      <c r="D22" s="26">
        <v>933829.5</v>
      </c>
      <c r="E22" s="26">
        <v>80471834.010000005</v>
      </c>
      <c r="F22" s="26">
        <v>6012914.1600000001</v>
      </c>
      <c r="G22" s="30"/>
      <c r="H22" s="27">
        <v>895.03</v>
      </c>
      <c r="I22" s="26">
        <f>F22/H22/30</f>
        <v>223.93715517915601</v>
      </c>
      <c r="J22" s="26"/>
      <c r="K22" s="30"/>
      <c r="L22" s="27">
        <v>28</v>
      </c>
      <c r="M22" s="26">
        <v>4576245</v>
      </c>
      <c r="N22" s="26">
        <v>118640</v>
      </c>
      <c r="O22" s="26">
        <v>972356.02</v>
      </c>
      <c r="P22" s="30"/>
      <c r="Q22" s="27">
        <v>6</v>
      </c>
      <c r="R22" s="26">
        <v>47798</v>
      </c>
      <c r="S22" s="26"/>
      <c r="T22" s="26">
        <v>1526374.75</v>
      </c>
      <c r="U22" s="26">
        <v>159635.43</v>
      </c>
      <c r="V22" s="30"/>
      <c r="W22" s="26">
        <f t="shared" si="0"/>
        <v>7192703.6099999994</v>
      </c>
    </row>
    <row r="23" spans="1:23" x14ac:dyDescent="0.25">
      <c r="A23" s="4">
        <v>44562</v>
      </c>
      <c r="C23" s="26">
        <v>86525932.659999982</v>
      </c>
      <c r="D23" s="26">
        <v>973721.24</v>
      </c>
      <c r="E23" s="26">
        <v>79355951.019999996</v>
      </c>
      <c r="F23" s="26">
        <v>6196260.3999999966</v>
      </c>
      <c r="G23" s="30"/>
      <c r="H23" s="27">
        <v>896</v>
      </c>
      <c r="I23" s="26">
        <v>223</v>
      </c>
      <c r="J23" s="26"/>
      <c r="K23" s="30"/>
      <c r="L23" s="27">
        <v>28</v>
      </c>
      <c r="M23" s="26">
        <v>4796716</v>
      </c>
      <c r="N23" s="26">
        <v>123210</v>
      </c>
      <c r="O23" s="26">
        <v>959579.58</v>
      </c>
      <c r="P23" s="30"/>
      <c r="Q23" s="27">
        <v>6</v>
      </c>
      <c r="R23" s="26">
        <v>43435</v>
      </c>
      <c r="S23" s="26"/>
      <c r="T23" s="26">
        <v>1647905.75</v>
      </c>
      <c r="U23" s="26">
        <v>-94991.25</v>
      </c>
      <c r="V23" s="30"/>
      <c r="W23" s="26">
        <f t="shared" si="0"/>
        <v>7104283.7299999967</v>
      </c>
    </row>
    <row r="24" spans="1:23" x14ac:dyDescent="0.25">
      <c r="A24" s="4">
        <v>44593</v>
      </c>
      <c r="C24" s="26">
        <v>91438373.560000002</v>
      </c>
      <c r="D24" s="26">
        <v>986701.13</v>
      </c>
      <c r="E24" s="26">
        <v>83837473.859999999</v>
      </c>
      <c r="F24" s="26">
        <v>6614198.5700000003</v>
      </c>
      <c r="G24" s="30"/>
      <c r="H24" s="27">
        <v>896</v>
      </c>
      <c r="I24" s="26">
        <v>264</v>
      </c>
      <c r="J24" s="26"/>
      <c r="K24" s="30"/>
      <c r="L24" s="27">
        <v>28</v>
      </c>
      <c r="M24" s="26">
        <v>4442804</v>
      </c>
      <c r="N24" s="26">
        <v>109050</v>
      </c>
      <c r="O24" s="26">
        <v>830385.97</v>
      </c>
      <c r="P24" s="30"/>
      <c r="Q24" s="27">
        <v>6</v>
      </c>
      <c r="R24" s="26">
        <v>48118</v>
      </c>
      <c r="S24" s="26"/>
      <c r="T24" s="26">
        <v>538398.5</v>
      </c>
      <c r="U24" s="26">
        <v>48459.25</v>
      </c>
      <c r="V24" s="30"/>
      <c r="W24" s="26">
        <f t="shared" si="0"/>
        <v>7541161.79</v>
      </c>
    </row>
    <row r="25" spans="1:23" x14ac:dyDescent="0.25">
      <c r="A25" s="4">
        <v>44621</v>
      </c>
      <c r="C25" s="26">
        <v>104812553.83999999</v>
      </c>
      <c r="D25" s="26">
        <v>1077692.92</v>
      </c>
      <c r="E25" s="26">
        <v>95909355.75</v>
      </c>
      <c r="F25" s="26">
        <v>7825505.1699999971</v>
      </c>
      <c r="G25" s="30">
        <v>894.44444444444446</v>
      </c>
      <c r="H25" s="27">
        <v>894.44444444444446</v>
      </c>
      <c r="I25" s="26">
        <v>282.36</v>
      </c>
      <c r="J25" s="26"/>
      <c r="K25" s="30"/>
      <c r="L25" s="27">
        <v>28</v>
      </c>
      <c r="M25" s="26">
        <v>6084566</v>
      </c>
      <c r="N25" s="26">
        <v>142555</v>
      </c>
      <c r="O25" s="26">
        <v>1283795.24</v>
      </c>
      <c r="P25" s="30"/>
      <c r="Q25" s="27">
        <v>6</v>
      </c>
      <c r="R25" s="26">
        <v>51204</v>
      </c>
      <c r="S25" s="26"/>
      <c r="T25" s="26">
        <v>531480.75</v>
      </c>
      <c r="U25" s="26">
        <v>18964</v>
      </c>
      <c r="V25" s="30"/>
      <c r="W25" s="26">
        <f t="shared" si="0"/>
        <v>9179468.4099999964</v>
      </c>
    </row>
    <row r="26" spans="1:23" ht="15.75" thickBot="1" x14ac:dyDescent="0.3">
      <c r="A26" s="4" t="s">
        <v>28</v>
      </c>
      <c r="C26" s="31">
        <f>SUM(C14:C25)</f>
        <v>1143590907.3999999</v>
      </c>
      <c r="D26" s="31">
        <f t="shared" ref="D26:F26" si="1">SUM(D14:D25)</f>
        <v>12253368.920000002</v>
      </c>
      <c r="E26" s="31">
        <f t="shared" si="1"/>
        <v>1048400763.7699999</v>
      </c>
      <c r="F26" s="31">
        <f t="shared" si="1"/>
        <v>82936774.709999993</v>
      </c>
      <c r="G26" s="31"/>
      <c r="H26" s="35">
        <v>820.75</v>
      </c>
      <c r="I26" s="31">
        <f>F26/H26/364</f>
        <v>277.60984729860451</v>
      </c>
      <c r="J26" s="33"/>
      <c r="K26" s="34"/>
      <c r="L26" s="35">
        <v>26</v>
      </c>
      <c r="M26" s="31">
        <f>SUM(M14:M25)</f>
        <v>55618124</v>
      </c>
      <c r="N26" s="31">
        <f>SUM(N14:N25)</f>
        <v>1365235</v>
      </c>
      <c r="O26" s="31">
        <f>SUM(O14:O25)</f>
        <v>10442463.090000002</v>
      </c>
      <c r="P26" s="33"/>
      <c r="Q26" s="32">
        <v>6</v>
      </c>
      <c r="R26" s="31">
        <f>SUM(R14:R25)</f>
        <v>348684</v>
      </c>
      <c r="S26" s="33"/>
      <c r="T26" s="31">
        <f>SUM(T14:T25)</f>
        <v>13179882.5</v>
      </c>
      <c r="U26" s="31">
        <f>SUM(U14:U25)</f>
        <v>1241228.8800000001</v>
      </c>
      <c r="V26" s="33"/>
      <c r="W26" s="31">
        <f>SUM(W14:W25)</f>
        <v>94969150.679999992</v>
      </c>
    </row>
    <row r="27" spans="1:23" ht="10.5" customHeight="1" thickTop="1" x14ac:dyDescent="0.25">
      <c r="C27" s="36"/>
      <c r="D27" s="36"/>
      <c r="E27" s="36"/>
      <c r="F27" s="36"/>
      <c r="G27" s="36"/>
      <c r="H27" s="36"/>
      <c r="L27" s="38"/>
      <c r="M27" s="36"/>
      <c r="N27" s="36"/>
      <c r="O27" s="36"/>
      <c r="P27" s="36"/>
      <c r="Q27" s="38"/>
      <c r="R27" s="36"/>
      <c r="S27" s="36"/>
      <c r="T27" s="36"/>
      <c r="U27" s="36"/>
    </row>
    <row r="28" spans="1:23" s="42" customFormat="1" x14ac:dyDescent="0.25">
      <c r="A28" s="39"/>
      <c r="B28" s="39"/>
      <c r="C28" s="40"/>
      <c r="D28" s="41">
        <f>D26/$C$26</f>
        <v>1.0714818420389972E-2</v>
      </c>
      <c r="E28" s="41">
        <f>E26/$C$26</f>
        <v>0.91676206673729277</v>
      </c>
      <c r="F28" s="41">
        <f>F26/$C$26</f>
        <v>7.2523114842317257E-2</v>
      </c>
      <c r="G28" s="41"/>
      <c r="H28" s="40"/>
      <c r="L28" s="40"/>
      <c r="M28" s="40"/>
      <c r="N28" s="40"/>
      <c r="O28" s="40"/>
      <c r="P28" s="40"/>
      <c r="Q28" s="40"/>
      <c r="R28" s="40"/>
      <c r="S28" s="40"/>
      <c r="T28" s="40"/>
      <c r="U28" s="40"/>
    </row>
    <row r="29" spans="1:23" s="42" customFormat="1" x14ac:dyDescent="0.25">
      <c r="A29" s="39"/>
      <c r="B29" s="39"/>
      <c r="C29" s="40"/>
      <c r="D29" s="40"/>
      <c r="E29" s="40"/>
      <c r="F29" s="40"/>
      <c r="G29" s="40"/>
      <c r="H29" s="40"/>
      <c r="L29" s="40"/>
      <c r="M29" s="40"/>
      <c r="N29" s="40"/>
      <c r="O29" s="40"/>
      <c r="P29" s="40"/>
      <c r="Q29" s="40"/>
      <c r="R29" s="40"/>
      <c r="S29" s="40"/>
      <c r="T29" s="40"/>
      <c r="U29" s="40"/>
    </row>
    <row r="30" spans="1:23" s="42" customFormat="1" x14ac:dyDescent="0.25">
      <c r="A30" s="83" t="s">
        <v>29</v>
      </c>
      <c r="B30" s="84"/>
      <c r="C30" s="84"/>
      <c r="D30" s="84"/>
      <c r="E30" s="84"/>
      <c r="F30" s="84"/>
      <c r="G30" s="84"/>
      <c r="H30" s="84"/>
      <c r="I30" s="84"/>
      <c r="J30" s="84"/>
      <c r="K30" s="84"/>
      <c r="L30" s="84"/>
      <c r="M30" s="84"/>
      <c r="N30" s="84"/>
      <c r="O30" s="84"/>
      <c r="P30" s="84"/>
      <c r="Q30" s="84"/>
      <c r="R30" s="84"/>
      <c r="S30" s="84"/>
      <c r="T30" s="84"/>
      <c r="U30" s="84"/>
      <c r="V30" s="84"/>
      <c r="W30" s="85"/>
    </row>
    <row r="31" spans="1:23" s="44" customFormat="1" x14ac:dyDescent="0.25">
      <c r="A31" s="43"/>
      <c r="B31" s="43"/>
      <c r="C31" s="43"/>
      <c r="D31" s="43"/>
      <c r="E31" s="43"/>
      <c r="F31" s="43"/>
      <c r="G31" s="43"/>
      <c r="H31" s="43"/>
      <c r="I31" s="43"/>
      <c r="J31" s="43"/>
      <c r="K31" s="43"/>
      <c r="L31" s="43"/>
      <c r="M31" s="43"/>
      <c r="N31" s="43"/>
      <c r="O31" s="43"/>
      <c r="P31" s="43"/>
      <c r="Q31" s="43"/>
      <c r="R31" s="43"/>
      <c r="S31" s="43"/>
      <c r="T31" s="43"/>
      <c r="U31" s="43"/>
    </row>
    <row r="32" spans="1:23" s="44" customFormat="1" x14ac:dyDescent="0.25">
      <c r="A32" s="43"/>
      <c r="B32" s="43"/>
      <c r="C32" s="43"/>
      <c r="D32" s="43"/>
      <c r="E32" s="43"/>
      <c r="F32" s="43"/>
      <c r="G32" s="43"/>
      <c r="H32" s="94" t="s">
        <v>30</v>
      </c>
      <c r="I32" s="95"/>
      <c r="J32" s="95"/>
      <c r="K32" s="95"/>
      <c r="L32" s="95"/>
      <c r="M32" s="95"/>
      <c r="N32" s="95"/>
      <c r="O32" s="95"/>
      <c r="P32" s="95"/>
      <c r="Q32" s="96"/>
      <c r="R32" s="45"/>
      <c r="S32" s="45"/>
      <c r="T32" s="45"/>
      <c r="U32" s="45"/>
    </row>
    <row r="33" spans="1:23" s="46" customFormat="1" ht="12" x14ac:dyDescent="0.2">
      <c r="H33" s="16" t="s">
        <v>31</v>
      </c>
      <c r="I33" s="16" t="s">
        <v>32</v>
      </c>
      <c r="J33" s="16" t="s">
        <v>33</v>
      </c>
      <c r="M33" s="47"/>
      <c r="N33" s="47"/>
      <c r="O33" s="47"/>
      <c r="P33" s="47"/>
      <c r="Q33" s="47"/>
      <c r="R33" s="47"/>
      <c r="S33" s="47"/>
      <c r="T33" s="47"/>
      <c r="U33" s="47"/>
    </row>
    <row r="34" spans="1:23" s="46" customFormat="1" ht="12.75" customHeight="1" x14ac:dyDescent="0.2">
      <c r="C34" s="16" t="s">
        <v>34</v>
      </c>
      <c r="D34" s="46" t="s">
        <v>10</v>
      </c>
      <c r="E34" s="46" t="s">
        <v>35</v>
      </c>
      <c r="F34" s="46" t="s">
        <v>36</v>
      </c>
      <c r="H34" s="16" t="s">
        <v>37</v>
      </c>
      <c r="I34" s="16" t="s">
        <v>38</v>
      </c>
      <c r="J34" s="16" t="s">
        <v>39</v>
      </c>
      <c r="L34" s="90" t="s">
        <v>40</v>
      </c>
      <c r="M34" s="90"/>
      <c r="N34" s="90"/>
      <c r="O34" s="90"/>
      <c r="P34" s="90"/>
      <c r="Q34" s="90"/>
      <c r="R34" s="48"/>
      <c r="S34" s="48"/>
      <c r="T34" s="48"/>
      <c r="U34" s="48"/>
    </row>
    <row r="35" spans="1:23" s="46" customFormat="1" ht="12" x14ac:dyDescent="0.2">
      <c r="C35" s="23" t="s">
        <v>41</v>
      </c>
      <c r="D35" s="71" t="s">
        <v>42</v>
      </c>
      <c r="E35" s="71" t="s">
        <v>43</v>
      </c>
      <c r="F35" s="71" t="s">
        <v>44</v>
      </c>
      <c r="G35" s="47"/>
      <c r="H35" s="23" t="s">
        <v>45</v>
      </c>
      <c r="I35" s="23" t="s">
        <v>46</v>
      </c>
      <c r="J35" s="23" t="s">
        <v>47</v>
      </c>
      <c r="K35" s="71"/>
      <c r="L35" s="71" t="s">
        <v>48</v>
      </c>
      <c r="M35" s="71" t="s">
        <v>49</v>
      </c>
      <c r="N35" s="71" t="s">
        <v>50</v>
      </c>
      <c r="O35" s="71" t="s">
        <v>51</v>
      </c>
      <c r="P35" s="50"/>
      <c r="Q35" s="71" t="s">
        <v>52</v>
      </c>
    </row>
    <row r="36" spans="1:23" s="42" customFormat="1" x14ac:dyDescent="0.25">
      <c r="A36" s="4">
        <v>44287</v>
      </c>
      <c r="B36" s="39"/>
      <c r="C36" s="36">
        <f>(F14*0.655)+(O14+R14+U14)*0.9</f>
        <v>5227000.6185499998</v>
      </c>
      <c r="D36" s="36">
        <f>(F14*0.345)+(O14+R14+U14)*0.1</f>
        <v>2516126.7114499994</v>
      </c>
      <c r="E36" s="26">
        <v>75</v>
      </c>
      <c r="F36" s="26">
        <v>0</v>
      </c>
      <c r="H36" s="36">
        <f>F14*0.345*0.8+(O14+R14+U14)*0.1*0.8+((E36+F36)*0.8)</f>
        <v>2012961.3691599995</v>
      </c>
      <c r="I36" s="36">
        <f>F14*0.345*0.05+(O14+R14+U14)*0.1*0.05+((E36+F36)*0.05)</f>
        <v>125810.08557249997</v>
      </c>
      <c r="J36" s="36">
        <f>F14*0.345*0.05+(O14+R14+U14)*0.1*0.05+((E36+F36)*0.05)</f>
        <v>125810.08557249997</v>
      </c>
      <c r="L36" s="36">
        <f>(F14*0.345*0.1+(O14+R14+U14)*0.1*0.1)*200600/373770+((E36+F36)*0.1*200600/373770)</f>
        <v>135042.95778603686</v>
      </c>
      <c r="M36" s="36">
        <f>(F14*0.345*0.1+(O14+R14+U14)*0.1*0.1)*41600/373770+((E36+F36)*0.1*41600/373770)</f>
        <v>28004.920458121298</v>
      </c>
      <c r="N36" s="36">
        <f>(F14*0.345*0.1+(O14+R14+U14)*0.1*0.1)*9989/373770+((E36+F36)*0.1*9989/373770)</f>
        <v>6724.5468859657121</v>
      </c>
      <c r="O36" s="36">
        <f>(F14*0.345*0.1+(O14+R14+U14)*0.1*0.1)*101564/373770+((E36+F36)*0.1*101564/373770)</f>
        <v>68372.397630015184</v>
      </c>
      <c r="Q36" s="36">
        <f>(F14*0.345*0.1+(O14+R14+U14)*0.1*0.1)*20017/373770+((E36+F36)*0.1*20017/373770)</f>
        <v>13475.348384860914</v>
      </c>
    </row>
    <row r="37" spans="1:23" s="42" customFormat="1" x14ac:dyDescent="0.25">
      <c r="A37" s="4">
        <v>44317</v>
      </c>
      <c r="B37" s="39"/>
      <c r="C37" s="36">
        <f t="shared" ref="C37:C47" si="2">(F15*0.655)+(O15+R15+U15)*0.9</f>
        <v>5427683.8065999998</v>
      </c>
      <c r="D37" s="36">
        <f t="shared" ref="D37:D47" si="3">(F15*0.345)+(O15+R15+U15)*0.1</f>
        <v>2532283.2133999998</v>
      </c>
      <c r="E37" s="26">
        <v>0</v>
      </c>
      <c r="F37" s="26">
        <v>0</v>
      </c>
      <c r="H37" s="36">
        <f t="shared" ref="H37:H47" si="4">F15*0.345*0.8+(O15+R15+U15)*0.1*0.8+((E37+F37)*0.8)</f>
        <v>2025826.57072</v>
      </c>
      <c r="I37" s="36">
        <f t="shared" ref="I37:I47" si="5">F15*0.345*0.05+(O15+R15+U15)*0.1*0.05+((E37+F37)*0.05)</f>
        <v>126614.16067</v>
      </c>
      <c r="J37" s="36">
        <f t="shared" ref="J37:J47" si="6">F15*0.345*0.05+(O15+R15+U15)*0.1*0.05+((E37+F37)*0.05)</f>
        <v>126614.16067</v>
      </c>
      <c r="L37" s="36">
        <f t="shared" ref="L37:L38" si="7">(F15*0.345*0.1+(O15+R15+U15)*0.1*0.1)*200600/373770+((E37+F37)*0.1*200600/373770)</f>
        <v>135906.04184606575</v>
      </c>
      <c r="M37" s="36">
        <f t="shared" ref="M37:M38" si="8">(F15*0.345*0.1+(O15+R15+U15)*0.1*0.1)*41600/373770+((E37+F37)*0.1*41600/373770)</f>
        <v>28183.904989014634</v>
      </c>
      <c r="N37" s="36">
        <f t="shared" ref="N37:N38" si="9">(F15*0.345*0.1+(O15+R15+U15)*0.1*0.1)*9989/373770+((E37+F37)*0.1*9989/373770)</f>
        <v>6767.524685943923</v>
      </c>
      <c r="O37" s="36">
        <f t="shared" ref="O37:O38" si="10">(F15*0.345*0.1+(O15+R15+U15)*0.1*0.1)*101564/373770+((E37+F37)*0.1*101564/373770)</f>
        <v>68809.378036160633</v>
      </c>
      <c r="Q37" s="36">
        <f t="shared" ref="Q37:Q38" si="11">(F15*0.345*0.1+(O15+R15+U15)*0.1*0.1)*20017/373770+((E37+F37)*0.1*20017/373770)</f>
        <v>13561.471782815048</v>
      </c>
      <c r="V37" s="28"/>
      <c r="W37" s="28"/>
    </row>
    <row r="38" spans="1:23" s="42" customFormat="1" x14ac:dyDescent="0.25">
      <c r="A38" s="4">
        <v>44348</v>
      </c>
      <c r="B38" s="39"/>
      <c r="C38" s="36">
        <f t="shared" si="2"/>
        <v>4885825.5437000003</v>
      </c>
      <c r="D38" s="36">
        <f t="shared" si="3"/>
        <v>2233869.5062999995</v>
      </c>
      <c r="E38" s="26">
        <v>1083.5</v>
      </c>
      <c r="F38" s="26">
        <v>0</v>
      </c>
      <c r="H38" s="36">
        <f t="shared" si="4"/>
        <v>1787962.4050399999</v>
      </c>
      <c r="I38" s="36">
        <f t="shared" si="5"/>
        <v>111747.65031499999</v>
      </c>
      <c r="J38" s="36">
        <f t="shared" si="6"/>
        <v>111747.65031499999</v>
      </c>
      <c r="L38" s="36">
        <f t="shared" si="7"/>
        <v>119948.51728704284</v>
      </c>
      <c r="M38" s="36">
        <f t="shared" si="8"/>
        <v>24874.667592926126</v>
      </c>
      <c r="N38" s="36">
        <f t="shared" si="9"/>
        <v>5972.9099660033426</v>
      </c>
      <c r="O38" s="36">
        <f t="shared" si="10"/>
        <v>60730.065851152627</v>
      </c>
      <c r="Q38" s="36">
        <f t="shared" si="11"/>
        <v>11969.139932875056</v>
      </c>
      <c r="V38" s="28"/>
      <c r="W38" s="28"/>
    </row>
    <row r="39" spans="1:23" s="42" customFormat="1" x14ac:dyDescent="0.25">
      <c r="A39" s="4">
        <v>44378</v>
      </c>
      <c r="B39" s="39"/>
      <c r="C39" s="36">
        <f t="shared" si="2"/>
        <v>5978372.4155000001</v>
      </c>
      <c r="D39" s="36">
        <f t="shared" si="3"/>
        <v>2823408.8844999997</v>
      </c>
      <c r="E39" s="26">
        <v>0</v>
      </c>
      <c r="F39" s="26">
        <v>0</v>
      </c>
      <c r="H39" s="36">
        <f t="shared" si="4"/>
        <v>2258727.1075999998</v>
      </c>
      <c r="I39" s="36">
        <f t="shared" si="5"/>
        <v>141170.44422499998</v>
      </c>
      <c r="J39" s="36">
        <f t="shared" si="6"/>
        <v>141170.44422499998</v>
      </c>
      <c r="L39" s="36">
        <f>(F17*0.345*0.1+(O17+R17+U17)*0.1*0.1)*198683/372282+((E39+F39)*0.1*198683/372282)</f>
        <v>150682.37180393183</v>
      </c>
      <c r="M39" s="36">
        <f>(F17*0.345*0.1+(O17+R17+U17)*0.1*0.1)*38867/372282+((E39+F39)*0.1*38867/372282)</f>
        <v>29476.964535986561</v>
      </c>
      <c r="N39" s="36">
        <f>(F17*0.345*0.1+(O17+R17+U17)*0.1*0.1)*9808/372282+((E39+F39)*0.1*9808/372282)</f>
        <v>7438.4456780548071</v>
      </c>
      <c r="O39" s="36">
        <f>(F17*0.345*0.1+(O17+R17+U17)*0.1*0.1)*105740/372282+((E39+F39)*0.1*105740/372282)</f>
        <v>80193.846451622681</v>
      </c>
      <c r="Q39" s="36">
        <f>(F17*0.345*0.1+(O17+R17+U17)*0.1*0.1)*19184/372282+((E39+F39)*0.1*19184/372282)</f>
        <v>14549.2599804041</v>
      </c>
      <c r="V39" s="28"/>
      <c r="W39" s="28"/>
    </row>
    <row r="40" spans="1:23" s="42" customFormat="1" x14ac:dyDescent="0.25">
      <c r="A40" s="4">
        <v>44409</v>
      </c>
      <c r="B40" s="39"/>
      <c r="C40" s="36">
        <f t="shared" si="2"/>
        <v>5464910.6547000008</v>
      </c>
      <c r="D40" s="36">
        <f t="shared" si="3"/>
        <v>2586200.5953000002</v>
      </c>
      <c r="E40" s="26">
        <v>10</v>
      </c>
      <c r="F40" s="26">
        <v>0</v>
      </c>
      <c r="H40" s="36">
        <f t="shared" si="4"/>
        <v>2068968.47624</v>
      </c>
      <c r="I40" s="36">
        <f t="shared" si="5"/>
        <v>129310.529765</v>
      </c>
      <c r="J40" s="36">
        <f t="shared" si="6"/>
        <v>129310.529765</v>
      </c>
      <c r="L40" s="36">
        <f t="shared" ref="L40:L47" si="12">(F18*0.345*0.1+(O18+R18+U18)*0.1*0.1)*198683/372282+((E40+F40)*0.1*198683/372282)</f>
        <v>138023.34781321415</v>
      </c>
      <c r="M40" s="36">
        <f t="shared" ref="M40:M47" si="13">(F18*0.345*0.1+(O18+R18+U18)*0.1*0.1)*38867/372282+((E40+F40)*0.1*38867/372282)</f>
        <v>27000.566024552649</v>
      </c>
      <c r="N40" s="36">
        <f t="shared" ref="N40:N47" si="14">(F18*0.345*0.1+(O18+R18+U18)*0.1*0.1)*9808/372282+((E40+F40)*0.1*9808/372282)</f>
        <v>6813.5320855433247</v>
      </c>
      <c r="O40" s="36">
        <f t="shared" ref="O40:O47" si="15">(F18*0.345*0.1+(O18+R18+U18)*0.1*0.1)*105740/372282+((E40+F40)*0.1*105740/372282)</f>
        <v>73456.656069061079</v>
      </c>
      <c r="Q40" s="36">
        <f t="shared" ref="Q40:Q47" si="16">(F18*0.345*0.1+(O18+R18+U18)*0.1*0.1)*19184/372282+((E40+F40)*0.1*19184/372282)</f>
        <v>13326.957537628785</v>
      </c>
      <c r="V40" s="28"/>
      <c r="W40" s="28"/>
    </row>
    <row r="41" spans="1:23" s="42" customFormat="1" x14ac:dyDescent="0.25">
      <c r="A41" s="4">
        <v>44440</v>
      </c>
      <c r="B41" s="39"/>
      <c r="C41" s="36">
        <f t="shared" si="2"/>
        <v>5523194.1241999995</v>
      </c>
      <c r="D41" s="36">
        <f t="shared" si="3"/>
        <v>2463999.8958000001</v>
      </c>
      <c r="E41" s="26">
        <v>4728.8500000000004</v>
      </c>
      <c r="F41" s="26">
        <v>0</v>
      </c>
      <c r="G41" s="30"/>
      <c r="H41" s="36">
        <f t="shared" si="4"/>
        <v>1974982.99664</v>
      </c>
      <c r="I41" s="36">
        <f t="shared" si="5"/>
        <v>123436.43729</v>
      </c>
      <c r="J41" s="36">
        <f t="shared" si="6"/>
        <v>123436.43729</v>
      </c>
      <c r="L41" s="36">
        <f t="shared" si="12"/>
        <v>131753.46468585142</v>
      </c>
      <c r="M41" s="36">
        <f t="shared" si="13"/>
        <v>25774.031557531282</v>
      </c>
      <c r="N41" s="36">
        <f t="shared" si="14"/>
        <v>6504.0188724693644</v>
      </c>
      <c r="O41" s="36">
        <f t="shared" si="15"/>
        <v>70119.795633657282</v>
      </c>
      <c r="Q41" s="36">
        <f t="shared" si="16"/>
        <v>12721.56383049065</v>
      </c>
      <c r="V41" s="28"/>
      <c r="W41" s="28"/>
    </row>
    <row r="42" spans="1:23" s="42" customFormat="1" x14ac:dyDescent="0.25">
      <c r="A42" s="4">
        <v>44470</v>
      </c>
      <c r="B42" s="39"/>
      <c r="C42" s="36">
        <f t="shared" si="2"/>
        <v>5801316.1303500002</v>
      </c>
      <c r="D42" s="36">
        <f t="shared" si="3"/>
        <v>2683713.2596499999</v>
      </c>
      <c r="E42" s="26">
        <v>6660.94</v>
      </c>
      <c r="F42" s="26">
        <v>0</v>
      </c>
      <c r="G42" s="30"/>
      <c r="H42" s="36">
        <f t="shared" si="4"/>
        <v>2152299.3597200001</v>
      </c>
      <c r="I42" s="36">
        <f t="shared" si="5"/>
        <v>134518.7099825</v>
      </c>
      <c r="J42" s="36">
        <f t="shared" si="6"/>
        <v>134518.7099825</v>
      </c>
      <c r="L42" s="36">
        <f t="shared" si="12"/>
        <v>143582.45016118453</v>
      </c>
      <c r="M42" s="36">
        <f t="shared" si="13"/>
        <v>28088.055296199269</v>
      </c>
      <c r="N42" s="36">
        <f t="shared" si="14"/>
        <v>7087.957556413472</v>
      </c>
      <c r="O42" s="36">
        <f t="shared" si="15"/>
        <v>76415.235727483741</v>
      </c>
      <c r="Q42" s="36">
        <f t="shared" si="16"/>
        <v>13863.721223719011</v>
      </c>
      <c r="V42" s="28"/>
      <c r="W42" s="28"/>
    </row>
    <row r="43" spans="1:23" s="42" customFormat="1" x14ac:dyDescent="0.25">
      <c r="A43" s="4">
        <v>44501</v>
      </c>
      <c r="B43" s="39"/>
      <c r="C43" s="36">
        <f t="shared" si="2"/>
        <v>5457541.9119500006</v>
      </c>
      <c r="D43" s="36">
        <f t="shared" si="3"/>
        <v>2346085.8680500002</v>
      </c>
      <c r="E43" s="26">
        <v>11603.14</v>
      </c>
      <c r="F43" s="26">
        <v>524.07000000000005</v>
      </c>
      <c r="G43" s="30"/>
      <c r="H43" s="36">
        <f t="shared" si="4"/>
        <v>1886570.4624400001</v>
      </c>
      <c r="I43" s="36">
        <f t="shared" si="5"/>
        <v>117910.65390250001</v>
      </c>
      <c r="J43" s="36">
        <f t="shared" si="6"/>
        <v>117910.65390250001</v>
      </c>
      <c r="L43" s="36">
        <f t="shared" si="12"/>
        <v>125855.35937440117</v>
      </c>
      <c r="M43" s="36">
        <f t="shared" si="13"/>
        <v>24620.225448603305</v>
      </c>
      <c r="N43" s="36">
        <f t="shared" si="14"/>
        <v>6212.8584969228714</v>
      </c>
      <c r="O43" s="36">
        <f t="shared" si="15"/>
        <v>66980.797049818953</v>
      </c>
      <c r="Q43" s="36">
        <f t="shared" si="16"/>
        <v>12152.067435253706</v>
      </c>
      <c r="V43" s="28"/>
      <c r="W43" s="28"/>
    </row>
    <row r="44" spans="1:23" s="42" customFormat="1" x14ac:dyDescent="0.25">
      <c r="A44" s="4">
        <v>44531</v>
      </c>
      <c r="B44" s="39"/>
      <c r="C44" s="36">
        <f t="shared" si="2"/>
        <v>5000269.2797999997</v>
      </c>
      <c r="D44" s="36">
        <f t="shared" si="3"/>
        <v>2192434.3301999997</v>
      </c>
      <c r="E44" s="26">
        <v>8005.46</v>
      </c>
      <c r="F44" s="26">
        <v>0</v>
      </c>
      <c r="G44" s="30"/>
      <c r="H44" s="36">
        <f t="shared" si="4"/>
        <v>1760351.83216</v>
      </c>
      <c r="I44" s="36">
        <f t="shared" si="5"/>
        <v>110021.98951</v>
      </c>
      <c r="J44" s="36">
        <f t="shared" si="6"/>
        <v>110021.98951</v>
      </c>
      <c r="L44" s="36">
        <f t="shared" si="12"/>
        <v>117435.16442812348</v>
      </c>
      <c r="M44" s="36">
        <f t="shared" si="13"/>
        <v>22973.040148517361</v>
      </c>
      <c r="N44" s="36">
        <f t="shared" si="14"/>
        <v>5797.1949925813224</v>
      </c>
      <c r="O44" s="36">
        <f t="shared" si="15"/>
        <v>62499.530843755005</v>
      </c>
      <c r="Q44" s="36">
        <f t="shared" si="16"/>
        <v>11339.048607022847</v>
      </c>
      <c r="V44" s="28"/>
      <c r="W44" s="28"/>
    </row>
    <row r="45" spans="1:23" s="42" customFormat="1" x14ac:dyDescent="0.25">
      <c r="A45" s="4">
        <v>44562</v>
      </c>
      <c r="B45" s="39"/>
      <c r="C45" s="36">
        <f t="shared" si="2"/>
        <v>4875771.5589999985</v>
      </c>
      <c r="D45" s="36">
        <f t="shared" si="3"/>
        <v>2228512.1709999987</v>
      </c>
      <c r="E45" s="26">
        <v>10548.95</v>
      </c>
      <c r="F45" s="26">
        <v>0</v>
      </c>
      <c r="G45" s="30"/>
      <c r="H45" s="36">
        <f t="shared" si="4"/>
        <v>1791248.8967999988</v>
      </c>
      <c r="I45" s="36">
        <f t="shared" si="5"/>
        <v>111953.05604999993</v>
      </c>
      <c r="J45" s="36">
        <f t="shared" si="6"/>
        <v>111953.05604999993</v>
      </c>
      <c r="L45" s="36">
        <f t="shared" si="12"/>
        <v>119496.34435821304</v>
      </c>
      <c r="M45" s="36">
        <f t="shared" si="13"/>
        <v>23376.254718172499</v>
      </c>
      <c r="N45" s="36">
        <f t="shared" si="14"/>
        <v>5898.9452820087954</v>
      </c>
      <c r="O45" s="36">
        <f t="shared" si="15"/>
        <v>63596.500216110326</v>
      </c>
      <c r="Q45" s="36">
        <f t="shared" si="16"/>
        <v>11538.067525495182</v>
      </c>
      <c r="V45" s="28"/>
      <c r="W45" s="28"/>
    </row>
    <row r="46" spans="1:23" s="42" customFormat="1" x14ac:dyDescent="0.25">
      <c r="A46" s="4">
        <v>44593</v>
      </c>
      <c r="B46" s="39"/>
      <c r="C46" s="36">
        <f t="shared" si="2"/>
        <v>5166566.9613500005</v>
      </c>
      <c r="D46" s="36">
        <f t="shared" si="3"/>
        <v>2374594.82865</v>
      </c>
      <c r="E46" s="26">
        <v>12403.54</v>
      </c>
      <c r="F46" s="26">
        <v>0</v>
      </c>
      <c r="G46" s="30"/>
      <c r="H46" s="36">
        <f t="shared" si="4"/>
        <v>1909598.6949199999</v>
      </c>
      <c r="I46" s="36">
        <f t="shared" si="5"/>
        <v>119349.9184325</v>
      </c>
      <c r="J46" s="36">
        <f t="shared" si="6"/>
        <v>119349.9184325</v>
      </c>
      <c r="L46" s="36">
        <f t="shared" si="12"/>
        <v>127391.60015216636</v>
      </c>
      <c r="M46" s="36">
        <f t="shared" si="13"/>
        <v>24920.749752692729</v>
      </c>
      <c r="N46" s="36">
        <f t="shared" si="14"/>
        <v>6288.6951288859518</v>
      </c>
      <c r="O46" s="36">
        <f t="shared" si="15"/>
        <v>67798.391407871182</v>
      </c>
      <c r="Q46" s="36">
        <f t="shared" si="16"/>
        <v>12300.400423383779</v>
      </c>
      <c r="V46" s="28"/>
      <c r="W46" s="28"/>
    </row>
    <row r="47" spans="1:23" s="42" customFormat="1" x14ac:dyDescent="0.25">
      <c r="A47" s="4">
        <v>44621</v>
      </c>
      <c r="B47" s="39"/>
      <c r="C47" s="36">
        <f t="shared" si="2"/>
        <v>6344272.8023499986</v>
      </c>
      <c r="D47" s="36">
        <f t="shared" si="3"/>
        <v>2835195.6076499987</v>
      </c>
      <c r="E47" s="26">
        <v>10902</v>
      </c>
      <c r="F47" s="26">
        <v>0</v>
      </c>
      <c r="G47" s="30"/>
      <c r="H47" s="36">
        <f t="shared" si="4"/>
        <v>2276878.0861199992</v>
      </c>
      <c r="I47" s="36">
        <f t="shared" si="5"/>
        <v>142304.88038249995</v>
      </c>
      <c r="J47" s="36">
        <f t="shared" si="6"/>
        <v>142304.88038249995</v>
      </c>
      <c r="L47" s="36">
        <f t="shared" si="12"/>
        <v>151893.24516917946</v>
      </c>
      <c r="M47" s="36">
        <f t="shared" si="13"/>
        <v>29713.839432616267</v>
      </c>
      <c r="N47" s="36">
        <f t="shared" si="14"/>
        <v>7498.2205252553676</v>
      </c>
      <c r="O47" s="36">
        <f t="shared" si="15"/>
        <v>80838.278786755967</v>
      </c>
      <c r="Q47" s="36">
        <f t="shared" si="16"/>
        <v>14666.176851192798</v>
      </c>
      <c r="V47" s="28"/>
      <c r="W47" s="28"/>
    </row>
    <row r="48" spans="1:23" s="42" customFormat="1" ht="15.75" thickBot="1" x14ac:dyDescent="0.3">
      <c r="A48" s="4" t="s">
        <v>28</v>
      </c>
      <c r="B48" s="39"/>
      <c r="C48" s="51">
        <f t="shared" ref="C48:D48" si="17">SUM(C36:C47)</f>
        <v>65152725.808049999</v>
      </c>
      <c r="D48" s="51">
        <f t="shared" si="17"/>
        <v>29816424.871950001</v>
      </c>
      <c r="E48" s="31">
        <f>SUM(E36:E47)</f>
        <v>66021.38</v>
      </c>
      <c r="F48" s="51">
        <f>SUM(F36:F47)</f>
        <v>524.07000000000005</v>
      </c>
      <c r="G48" s="36"/>
      <c r="H48" s="51">
        <f>SUM(H36:H47)</f>
        <v>23906376.25756</v>
      </c>
      <c r="I48" s="51">
        <f t="shared" ref="I48:Q48" si="18">SUM(I36:I47)</f>
        <v>1494148.5160975</v>
      </c>
      <c r="J48" s="51">
        <f t="shared" si="18"/>
        <v>1494148.5160975</v>
      </c>
      <c r="K48" s="51"/>
      <c r="L48" s="51">
        <f t="shared" si="18"/>
        <v>1597010.8648654111</v>
      </c>
      <c r="M48" s="51">
        <f t="shared" si="18"/>
        <v>317007.21995493391</v>
      </c>
      <c r="N48" s="51">
        <f t="shared" si="18"/>
        <v>79004.850156048255</v>
      </c>
      <c r="O48" s="51">
        <f t="shared" si="18"/>
        <v>839810.87370346463</v>
      </c>
      <c r="P48" s="51"/>
      <c r="Q48" s="51">
        <f t="shared" si="18"/>
        <v>155463.2235151419</v>
      </c>
      <c r="V48" s="28"/>
      <c r="W48" s="28"/>
    </row>
    <row r="49" spans="1:21" s="42" customFormat="1" ht="15.75" thickTop="1" x14ac:dyDescent="0.25">
      <c r="A49" s="39"/>
      <c r="B49" s="39"/>
      <c r="C49" s="36"/>
      <c r="D49" s="40"/>
      <c r="E49" s="40"/>
      <c r="F49" s="40"/>
      <c r="G49" s="40"/>
      <c r="H49" s="40"/>
      <c r="I49" s="40"/>
      <c r="L49" s="40"/>
      <c r="M49" s="40"/>
      <c r="N49" s="40"/>
      <c r="O49" s="40"/>
      <c r="Q49" s="40"/>
    </row>
    <row r="50" spans="1:21" s="42" customFormat="1" x14ac:dyDescent="0.25">
      <c r="A50" s="39"/>
      <c r="B50" s="39"/>
      <c r="C50" s="40">
        <f>C48/W26</f>
        <v>0.68604094425971129</v>
      </c>
      <c r="D50" s="40">
        <f>D48/W26</f>
        <v>0.31395905574028876</v>
      </c>
      <c r="E50" s="40"/>
      <c r="F50" s="40"/>
      <c r="G50" s="40"/>
      <c r="H50" s="40">
        <f>H48/($D$48+$E$48+$F$48)</f>
        <v>0.8</v>
      </c>
      <c r="I50" s="40">
        <f t="shared" ref="I50:Q50" si="19">I48/($D$48+$E$48+$F$48)</f>
        <v>0.05</v>
      </c>
      <c r="J50" s="40">
        <f t="shared" si="19"/>
        <v>0.05</v>
      </c>
      <c r="K50" s="40"/>
      <c r="L50" s="40">
        <f t="shared" si="19"/>
        <v>5.3442172838232063E-2</v>
      </c>
      <c r="M50" s="40">
        <f t="shared" si="19"/>
        <v>1.0608290157892435E-2</v>
      </c>
      <c r="N50" s="40">
        <f t="shared" si="19"/>
        <v>2.6438084736849824E-3</v>
      </c>
      <c r="O50" s="40">
        <f t="shared" si="19"/>
        <v>2.8103326565451784E-2</v>
      </c>
      <c r="P50" s="40"/>
      <c r="Q50" s="40">
        <f t="shared" si="19"/>
        <v>5.2024019647387322E-3</v>
      </c>
    </row>
    <row r="51" spans="1:21" s="42" customFormat="1" x14ac:dyDescent="0.25">
      <c r="A51" s="39"/>
      <c r="B51" s="39"/>
      <c r="C51" s="40"/>
      <c r="D51" s="40"/>
      <c r="H51" s="40"/>
      <c r="I51" s="40"/>
      <c r="J51" s="40"/>
      <c r="K51" s="40"/>
      <c r="L51" s="40"/>
      <c r="M51" s="40"/>
      <c r="N51" s="40"/>
      <c r="O51" s="40"/>
      <c r="P51" s="40"/>
      <c r="Q51" s="40"/>
      <c r="R51" s="40"/>
      <c r="S51" s="40"/>
      <c r="T51" s="40"/>
      <c r="U51" s="40"/>
    </row>
    <row r="52" spans="1:21" s="42" customFormat="1" x14ac:dyDescent="0.25">
      <c r="A52" s="52" t="s">
        <v>53</v>
      </c>
      <c r="B52" s="39"/>
      <c r="C52" s="40"/>
      <c r="D52" s="40"/>
      <c r="H52" s="40"/>
      <c r="I52" s="40"/>
      <c r="J52" s="40"/>
      <c r="K52" s="40"/>
      <c r="L52" s="40"/>
      <c r="M52" s="40"/>
      <c r="N52" s="40"/>
      <c r="O52" s="40"/>
      <c r="P52" s="40"/>
      <c r="Q52" s="40"/>
      <c r="R52" s="40"/>
      <c r="S52" s="40"/>
      <c r="T52" s="40"/>
      <c r="U52" s="40"/>
    </row>
    <row r="53" spans="1:21" s="42" customFormat="1" x14ac:dyDescent="0.25">
      <c r="A53" s="53" t="s">
        <v>81</v>
      </c>
      <c r="B53" s="39"/>
      <c r="C53" s="40"/>
      <c r="D53" s="40"/>
      <c r="H53" s="40"/>
      <c r="I53" s="40"/>
      <c r="J53" s="40"/>
      <c r="K53" s="40"/>
      <c r="L53" s="40"/>
      <c r="M53" s="40"/>
      <c r="N53" s="40"/>
      <c r="O53" s="40"/>
      <c r="P53" s="40"/>
      <c r="Q53" s="40"/>
      <c r="R53" s="40"/>
      <c r="S53" s="40"/>
      <c r="T53" s="40"/>
      <c r="U53" s="40"/>
    </row>
    <row r="54" spans="1:21" s="42" customFormat="1" x14ac:dyDescent="0.25">
      <c r="A54" s="53" t="s">
        <v>55</v>
      </c>
      <c r="B54" s="39"/>
      <c r="C54" s="40"/>
      <c r="D54" s="40"/>
      <c r="H54" s="40"/>
      <c r="I54" s="40"/>
      <c r="J54" s="40"/>
      <c r="K54" s="40"/>
      <c r="L54" s="40"/>
      <c r="M54" s="40"/>
      <c r="N54" s="40"/>
      <c r="O54" s="40"/>
      <c r="P54" s="40"/>
      <c r="Q54" s="40"/>
      <c r="R54" s="40"/>
      <c r="S54" s="40"/>
      <c r="T54" s="40"/>
      <c r="U54" s="40"/>
    </row>
    <row r="55" spans="1:21" s="42" customFormat="1" x14ac:dyDescent="0.25">
      <c r="A55" s="53" t="s">
        <v>56</v>
      </c>
      <c r="B55" s="39"/>
      <c r="C55" s="40"/>
      <c r="D55" s="40"/>
      <c r="H55" s="40"/>
      <c r="I55" s="40"/>
      <c r="J55" s="40"/>
      <c r="K55" s="40"/>
      <c r="L55" s="40"/>
      <c r="M55" s="40"/>
      <c r="N55" s="40"/>
      <c r="O55" s="40"/>
      <c r="P55" s="40"/>
      <c r="Q55" s="40"/>
      <c r="R55" s="40"/>
      <c r="S55" s="40"/>
      <c r="T55" s="40"/>
      <c r="U55" s="40"/>
    </row>
    <row r="56" spans="1:21" s="42" customFormat="1" x14ac:dyDescent="0.25">
      <c r="A56" s="53"/>
      <c r="B56" s="39"/>
      <c r="C56" s="40"/>
      <c r="D56" s="40"/>
      <c r="H56" s="40"/>
      <c r="I56" s="40"/>
      <c r="J56" s="40"/>
      <c r="K56" s="40"/>
      <c r="L56" s="40"/>
      <c r="M56" s="40"/>
      <c r="N56" s="40"/>
      <c r="O56" s="40"/>
      <c r="P56" s="40"/>
      <c r="Q56" s="40"/>
      <c r="R56" s="40"/>
      <c r="S56" s="40"/>
      <c r="T56" s="40"/>
      <c r="U56" s="40"/>
    </row>
    <row r="57" spans="1:21" s="42" customFormat="1" x14ac:dyDescent="0.25">
      <c r="A57" s="53" t="s">
        <v>57</v>
      </c>
      <c r="B57" s="39"/>
      <c r="C57" s="40"/>
      <c r="D57" s="54"/>
      <c r="H57" s="40"/>
      <c r="I57" s="40"/>
      <c r="J57" s="40"/>
      <c r="K57" s="40"/>
      <c r="L57" s="40"/>
      <c r="M57" s="40"/>
      <c r="N57" s="40"/>
      <c r="O57" s="40"/>
      <c r="P57" s="40"/>
      <c r="Q57" s="40"/>
      <c r="R57" s="40"/>
      <c r="S57" s="40"/>
      <c r="T57" s="40"/>
      <c r="U57" s="40"/>
    </row>
    <row r="59" spans="1:21" s="42" customFormat="1" x14ac:dyDescent="0.25">
      <c r="A59" s="53" t="s">
        <v>58</v>
      </c>
      <c r="B59" s="39"/>
      <c r="C59" s="40"/>
      <c r="D59" s="54"/>
      <c r="H59" s="40"/>
      <c r="I59" s="40"/>
      <c r="J59" s="40"/>
      <c r="K59" s="40"/>
      <c r="L59" s="40"/>
      <c r="M59" s="40"/>
      <c r="N59" s="40"/>
      <c r="O59" s="40"/>
      <c r="P59" s="40"/>
      <c r="Q59" s="40"/>
      <c r="R59" s="40"/>
      <c r="S59" s="40"/>
      <c r="T59" s="40"/>
      <c r="U59" s="40"/>
    </row>
    <row r="60" spans="1:21" s="42" customFormat="1" x14ac:dyDescent="0.25">
      <c r="A60" s="53" t="s">
        <v>73</v>
      </c>
      <c r="B60" s="39"/>
      <c r="C60" s="40"/>
      <c r="D60" s="54"/>
      <c r="H60" s="40"/>
      <c r="I60" s="40"/>
      <c r="J60" s="40"/>
      <c r="K60" s="40"/>
      <c r="L60" s="40"/>
      <c r="M60" s="40"/>
      <c r="N60" s="40"/>
      <c r="O60" s="40"/>
      <c r="P60" s="40"/>
      <c r="Q60" s="40"/>
      <c r="R60" s="40"/>
      <c r="S60" s="40"/>
      <c r="T60" s="40"/>
      <c r="U60" s="40"/>
    </row>
    <row r="62" spans="1:21" x14ac:dyDescent="0.25">
      <c r="A62" s="53" t="s">
        <v>60</v>
      </c>
    </row>
    <row r="63" spans="1:21" x14ac:dyDescent="0.25">
      <c r="A63" s="53"/>
    </row>
    <row r="64" spans="1:21" x14ac:dyDescent="0.25">
      <c r="A64" s="53" t="s">
        <v>74</v>
      </c>
    </row>
    <row r="65" spans="1:15" x14ac:dyDescent="0.25">
      <c r="A65" s="53"/>
      <c r="B65" s="55"/>
      <c r="C65" s="56"/>
      <c r="D65" s="56"/>
      <c r="E65" s="56"/>
      <c r="F65" s="56"/>
      <c r="G65" s="56"/>
      <c r="H65" s="56"/>
      <c r="I65" s="57"/>
      <c r="J65" s="56"/>
      <c r="K65" s="56"/>
      <c r="L65" s="56"/>
      <c r="M65" s="56"/>
      <c r="N65" s="56"/>
      <c r="O65" s="56"/>
    </row>
    <row r="66" spans="1:15" x14ac:dyDescent="0.25">
      <c r="A66" s="65" t="s">
        <v>68</v>
      </c>
    </row>
    <row r="68" spans="1:15" x14ac:dyDescent="0.25">
      <c r="D68" s="58"/>
    </row>
  </sheetData>
  <mergeCells count="13">
    <mergeCell ref="L34:Q34"/>
    <mergeCell ref="A1:W1"/>
    <mergeCell ref="A2:W2"/>
    <mergeCell ref="A3:W3"/>
    <mergeCell ref="A4:W4"/>
    <mergeCell ref="A5:W5"/>
    <mergeCell ref="A8:W8"/>
    <mergeCell ref="C10:I10"/>
    <mergeCell ref="L10:O10"/>
    <mergeCell ref="Q10:R10"/>
    <mergeCell ref="A30:W30"/>
    <mergeCell ref="H32:Q32"/>
    <mergeCell ref="T10:U10"/>
  </mergeCells>
  <hyperlinks>
    <hyperlink ref="A4" r:id="rId1" xr:uid="{D2475488-2DAE-4C36-8BCE-85C4AA214E21}"/>
  </hyperlinks>
  <printOptions horizontalCentered="1" verticalCentered="1"/>
  <pageMargins left="0" right="0" top="0.25" bottom="0.25" header="0.3" footer="0.3"/>
  <pageSetup scale="58"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4CD5A-3133-4979-8C1D-173D01E5FB47}">
  <sheetPr>
    <pageSetUpPr fitToPage="1"/>
  </sheetPr>
  <dimension ref="A1:V68"/>
  <sheetViews>
    <sheetView topLeftCell="A22" zoomScale="80" zoomScaleNormal="80" workbookViewId="0">
      <selection activeCell="D44" sqref="D44"/>
    </sheetView>
  </sheetViews>
  <sheetFormatPr defaultRowHeight="15" x14ac:dyDescent="0.25"/>
  <cols>
    <col min="1" max="1" width="9.28515625" style="4" customWidth="1"/>
    <col min="2" max="2" width="1.7109375" style="4" customWidth="1"/>
    <col min="3" max="3" width="14.140625" style="28" customWidth="1"/>
    <col min="4" max="4" width="13.140625" style="28" customWidth="1"/>
    <col min="5" max="5" width="14.140625" style="28" customWidth="1"/>
    <col min="6" max="6" width="15.85546875" style="28" customWidth="1"/>
    <col min="7" max="7" width="1.85546875" style="28" customWidth="1"/>
    <col min="8" max="8" width="14.28515625" style="28" customWidth="1"/>
    <col min="9" max="9" width="11.85546875" style="37" customWidth="1"/>
    <col min="10" max="10" width="11.5703125" style="28" customWidth="1"/>
    <col min="11" max="11" width="1.140625" style="28" customWidth="1"/>
    <col min="12" max="12" width="11.85546875" style="28" customWidth="1"/>
    <col min="13" max="13" width="12.7109375" style="28" customWidth="1"/>
    <col min="14" max="14" width="11.5703125" style="28" customWidth="1"/>
    <col min="15" max="15" width="12.42578125" style="28" customWidth="1"/>
    <col min="16" max="16" width="3.7109375" style="28" customWidth="1"/>
    <col min="17" max="17" width="11.42578125" style="28" customWidth="1"/>
    <col min="18" max="18" width="12.140625" style="28" customWidth="1"/>
    <col min="19" max="19" width="3.7109375" style="28" customWidth="1"/>
    <col min="20" max="20" width="16" style="28" bestFit="1" customWidth="1"/>
    <col min="21" max="21" width="3.7109375" style="1" customWidth="1"/>
    <col min="22" max="22" width="14.28515625" style="1" customWidth="1"/>
    <col min="23" max="23" width="9.85546875" style="1" customWidth="1"/>
    <col min="24" max="259" width="9.140625" style="1"/>
    <col min="260" max="260" width="9.28515625" style="1" customWidth="1"/>
    <col min="261" max="261" width="1.7109375" style="1" customWidth="1"/>
    <col min="262" max="265" width="12" style="1" customWidth="1"/>
    <col min="266" max="266" width="11.85546875" style="1" customWidth="1"/>
    <col min="267" max="267" width="10.7109375" style="1" customWidth="1"/>
    <col min="268" max="268" width="10.5703125" style="1" customWidth="1"/>
    <col min="269" max="269" width="1.140625" style="1" customWidth="1"/>
    <col min="270" max="270" width="11.28515625" style="1" customWidth="1"/>
    <col min="271" max="271" width="12.7109375" style="1" customWidth="1"/>
    <col min="272" max="272" width="11.5703125" style="1" customWidth="1"/>
    <col min="273" max="273" width="12.42578125" style="1" customWidth="1"/>
    <col min="274" max="274" width="1.5703125" style="1" customWidth="1"/>
    <col min="275" max="275" width="11.42578125" style="1" customWidth="1"/>
    <col min="276" max="276" width="12.140625" style="1" customWidth="1"/>
    <col min="277" max="277" width="1.7109375" style="1" customWidth="1"/>
    <col min="278" max="278" width="13.5703125" style="1" customWidth="1"/>
    <col min="279" max="515" width="9.140625" style="1"/>
    <col min="516" max="516" width="9.28515625" style="1" customWidth="1"/>
    <col min="517" max="517" width="1.7109375" style="1" customWidth="1"/>
    <col min="518" max="521" width="12" style="1" customWidth="1"/>
    <col min="522" max="522" width="11.85546875" style="1" customWidth="1"/>
    <col min="523" max="523" width="10.7109375" style="1" customWidth="1"/>
    <col min="524" max="524" width="10.5703125" style="1" customWidth="1"/>
    <col min="525" max="525" width="1.140625" style="1" customWidth="1"/>
    <col min="526" max="526" width="11.28515625" style="1" customWidth="1"/>
    <col min="527" max="527" width="12.7109375" style="1" customWidth="1"/>
    <col min="528" max="528" width="11.5703125" style="1" customWidth="1"/>
    <col min="529" max="529" width="12.42578125" style="1" customWidth="1"/>
    <col min="530" max="530" width="1.5703125" style="1" customWidth="1"/>
    <col min="531" max="531" width="11.42578125" style="1" customWidth="1"/>
    <col min="532" max="532" width="12.140625" style="1" customWidth="1"/>
    <col min="533" max="533" width="1.7109375" style="1" customWidth="1"/>
    <col min="534" max="534" width="13.5703125" style="1" customWidth="1"/>
    <col min="535" max="771" width="9.140625" style="1"/>
    <col min="772" max="772" width="9.28515625" style="1" customWidth="1"/>
    <col min="773" max="773" width="1.7109375" style="1" customWidth="1"/>
    <col min="774" max="777" width="12" style="1" customWidth="1"/>
    <col min="778" max="778" width="11.85546875" style="1" customWidth="1"/>
    <col min="779" max="779" width="10.7109375" style="1" customWidth="1"/>
    <col min="780" max="780" width="10.5703125" style="1" customWidth="1"/>
    <col min="781" max="781" width="1.140625" style="1" customWidth="1"/>
    <col min="782" max="782" width="11.28515625" style="1" customWidth="1"/>
    <col min="783" max="783" width="12.7109375" style="1" customWidth="1"/>
    <col min="784" max="784" width="11.5703125" style="1" customWidth="1"/>
    <col min="785" max="785" width="12.42578125" style="1" customWidth="1"/>
    <col min="786" max="786" width="1.5703125" style="1" customWidth="1"/>
    <col min="787" max="787" width="11.42578125" style="1" customWidth="1"/>
    <col min="788" max="788" width="12.140625" style="1" customWidth="1"/>
    <col min="789" max="789" width="1.7109375" style="1" customWidth="1"/>
    <col min="790" max="790" width="13.5703125" style="1" customWidth="1"/>
    <col min="791" max="1027" width="9.140625" style="1"/>
    <col min="1028" max="1028" width="9.28515625" style="1" customWidth="1"/>
    <col min="1029" max="1029" width="1.7109375" style="1" customWidth="1"/>
    <col min="1030" max="1033" width="12" style="1" customWidth="1"/>
    <col min="1034" max="1034" width="11.85546875" style="1" customWidth="1"/>
    <col min="1035" max="1035" width="10.7109375" style="1" customWidth="1"/>
    <col min="1036" max="1036" width="10.5703125" style="1" customWidth="1"/>
    <col min="1037" max="1037" width="1.140625" style="1" customWidth="1"/>
    <col min="1038" max="1038" width="11.28515625" style="1" customWidth="1"/>
    <col min="1039" max="1039" width="12.7109375" style="1" customWidth="1"/>
    <col min="1040" max="1040" width="11.5703125" style="1" customWidth="1"/>
    <col min="1041" max="1041" width="12.42578125" style="1" customWidth="1"/>
    <col min="1042" max="1042" width="1.5703125" style="1" customWidth="1"/>
    <col min="1043" max="1043" width="11.42578125" style="1" customWidth="1"/>
    <col min="1044" max="1044" width="12.140625" style="1" customWidth="1"/>
    <col min="1045" max="1045" width="1.7109375" style="1" customWidth="1"/>
    <col min="1046" max="1046" width="13.5703125" style="1" customWidth="1"/>
    <col min="1047" max="1283" width="9.140625" style="1"/>
    <col min="1284" max="1284" width="9.28515625" style="1" customWidth="1"/>
    <col min="1285" max="1285" width="1.7109375" style="1" customWidth="1"/>
    <col min="1286" max="1289" width="12" style="1" customWidth="1"/>
    <col min="1290" max="1290" width="11.85546875" style="1" customWidth="1"/>
    <col min="1291" max="1291" width="10.7109375" style="1" customWidth="1"/>
    <col min="1292" max="1292" width="10.5703125" style="1" customWidth="1"/>
    <col min="1293" max="1293" width="1.140625" style="1" customWidth="1"/>
    <col min="1294" max="1294" width="11.28515625" style="1" customWidth="1"/>
    <col min="1295" max="1295" width="12.7109375" style="1" customWidth="1"/>
    <col min="1296" max="1296" width="11.5703125" style="1" customWidth="1"/>
    <col min="1297" max="1297" width="12.42578125" style="1" customWidth="1"/>
    <col min="1298" max="1298" width="1.5703125" style="1" customWidth="1"/>
    <col min="1299" max="1299" width="11.42578125" style="1" customWidth="1"/>
    <col min="1300" max="1300" width="12.140625" style="1" customWidth="1"/>
    <col min="1301" max="1301" width="1.7109375" style="1" customWidth="1"/>
    <col min="1302" max="1302" width="13.5703125" style="1" customWidth="1"/>
    <col min="1303" max="1539" width="9.140625" style="1"/>
    <col min="1540" max="1540" width="9.28515625" style="1" customWidth="1"/>
    <col min="1541" max="1541" width="1.7109375" style="1" customWidth="1"/>
    <col min="1542" max="1545" width="12" style="1" customWidth="1"/>
    <col min="1546" max="1546" width="11.85546875" style="1" customWidth="1"/>
    <col min="1547" max="1547" width="10.7109375" style="1" customWidth="1"/>
    <col min="1548" max="1548" width="10.5703125" style="1" customWidth="1"/>
    <col min="1549" max="1549" width="1.140625" style="1" customWidth="1"/>
    <col min="1550" max="1550" width="11.28515625" style="1" customWidth="1"/>
    <col min="1551" max="1551" width="12.7109375" style="1" customWidth="1"/>
    <col min="1552" max="1552" width="11.5703125" style="1" customWidth="1"/>
    <col min="1553" max="1553" width="12.42578125" style="1" customWidth="1"/>
    <col min="1554" max="1554" width="1.5703125" style="1" customWidth="1"/>
    <col min="1555" max="1555" width="11.42578125" style="1" customWidth="1"/>
    <col min="1556" max="1556" width="12.140625" style="1" customWidth="1"/>
    <col min="1557" max="1557" width="1.7109375" style="1" customWidth="1"/>
    <col min="1558" max="1558" width="13.5703125" style="1" customWidth="1"/>
    <col min="1559" max="1795" width="9.140625" style="1"/>
    <col min="1796" max="1796" width="9.28515625" style="1" customWidth="1"/>
    <col min="1797" max="1797" width="1.7109375" style="1" customWidth="1"/>
    <col min="1798" max="1801" width="12" style="1" customWidth="1"/>
    <col min="1802" max="1802" width="11.85546875" style="1" customWidth="1"/>
    <col min="1803" max="1803" width="10.7109375" style="1" customWidth="1"/>
    <col min="1804" max="1804" width="10.5703125" style="1" customWidth="1"/>
    <col min="1805" max="1805" width="1.140625" style="1" customWidth="1"/>
    <col min="1806" max="1806" width="11.28515625" style="1" customWidth="1"/>
    <col min="1807" max="1807" width="12.7109375" style="1" customWidth="1"/>
    <col min="1808" max="1808" width="11.5703125" style="1" customWidth="1"/>
    <col min="1809" max="1809" width="12.42578125" style="1" customWidth="1"/>
    <col min="1810" max="1810" width="1.5703125" style="1" customWidth="1"/>
    <col min="1811" max="1811" width="11.42578125" style="1" customWidth="1"/>
    <col min="1812" max="1812" width="12.140625" style="1" customWidth="1"/>
    <col min="1813" max="1813" width="1.7109375" style="1" customWidth="1"/>
    <col min="1814" max="1814" width="13.5703125" style="1" customWidth="1"/>
    <col min="1815" max="2051" width="9.140625" style="1"/>
    <col min="2052" max="2052" width="9.28515625" style="1" customWidth="1"/>
    <col min="2053" max="2053" width="1.7109375" style="1" customWidth="1"/>
    <col min="2054" max="2057" width="12" style="1" customWidth="1"/>
    <col min="2058" max="2058" width="11.85546875" style="1" customWidth="1"/>
    <col min="2059" max="2059" width="10.7109375" style="1" customWidth="1"/>
    <col min="2060" max="2060" width="10.5703125" style="1" customWidth="1"/>
    <col min="2061" max="2061" width="1.140625" style="1" customWidth="1"/>
    <col min="2062" max="2062" width="11.28515625" style="1" customWidth="1"/>
    <col min="2063" max="2063" width="12.7109375" style="1" customWidth="1"/>
    <col min="2064" max="2064" width="11.5703125" style="1" customWidth="1"/>
    <col min="2065" max="2065" width="12.42578125" style="1" customWidth="1"/>
    <col min="2066" max="2066" width="1.5703125" style="1" customWidth="1"/>
    <col min="2067" max="2067" width="11.42578125" style="1" customWidth="1"/>
    <col min="2068" max="2068" width="12.140625" style="1" customWidth="1"/>
    <col min="2069" max="2069" width="1.7109375" style="1" customWidth="1"/>
    <col min="2070" max="2070" width="13.5703125" style="1" customWidth="1"/>
    <col min="2071" max="2307" width="9.140625" style="1"/>
    <col min="2308" max="2308" width="9.28515625" style="1" customWidth="1"/>
    <col min="2309" max="2309" width="1.7109375" style="1" customWidth="1"/>
    <col min="2310" max="2313" width="12" style="1" customWidth="1"/>
    <col min="2314" max="2314" width="11.85546875" style="1" customWidth="1"/>
    <col min="2315" max="2315" width="10.7109375" style="1" customWidth="1"/>
    <col min="2316" max="2316" width="10.5703125" style="1" customWidth="1"/>
    <col min="2317" max="2317" width="1.140625" style="1" customWidth="1"/>
    <col min="2318" max="2318" width="11.28515625" style="1" customWidth="1"/>
    <col min="2319" max="2319" width="12.7109375" style="1" customWidth="1"/>
    <col min="2320" max="2320" width="11.5703125" style="1" customWidth="1"/>
    <col min="2321" max="2321" width="12.42578125" style="1" customWidth="1"/>
    <col min="2322" max="2322" width="1.5703125" style="1" customWidth="1"/>
    <col min="2323" max="2323" width="11.42578125" style="1" customWidth="1"/>
    <col min="2324" max="2324" width="12.140625" style="1" customWidth="1"/>
    <col min="2325" max="2325" width="1.7109375" style="1" customWidth="1"/>
    <col min="2326" max="2326" width="13.5703125" style="1" customWidth="1"/>
    <col min="2327" max="2563" width="9.140625" style="1"/>
    <col min="2564" max="2564" width="9.28515625" style="1" customWidth="1"/>
    <col min="2565" max="2565" width="1.7109375" style="1" customWidth="1"/>
    <col min="2566" max="2569" width="12" style="1" customWidth="1"/>
    <col min="2570" max="2570" width="11.85546875" style="1" customWidth="1"/>
    <col min="2571" max="2571" width="10.7109375" style="1" customWidth="1"/>
    <col min="2572" max="2572" width="10.5703125" style="1" customWidth="1"/>
    <col min="2573" max="2573" width="1.140625" style="1" customWidth="1"/>
    <col min="2574" max="2574" width="11.28515625" style="1" customWidth="1"/>
    <col min="2575" max="2575" width="12.7109375" style="1" customWidth="1"/>
    <col min="2576" max="2576" width="11.5703125" style="1" customWidth="1"/>
    <col min="2577" max="2577" width="12.42578125" style="1" customWidth="1"/>
    <col min="2578" max="2578" width="1.5703125" style="1" customWidth="1"/>
    <col min="2579" max="2579" width="11.42578125" style="1" customWidth="1"/>
    <col min="2580" max="2580" width="12.140625" style="1" customWidth="1"/>
    <col min="2581" max="2581" width="1.7109375" style="1" customWidth="1"/>
    <col min="2582" max="2582" width="13.5703125" style="1" customWidth="1"/>
    <col min="2583" max="2819" width="9.140625" style="1"/>
    <col min="2820" max="2820" width="9.28515625" style="1" customWidth="1"/>
    <col min="2821" max="2821" width="1.7109375" style="1" customWidth="1"/>
    <col min="2822" max="2825" width="12" style="1" customWidth="1"/>
    <col min="2826" max="2826" width="11.85546875" style="1" customWidth="1"/>
    <col min="2827" max="2827" width="10.7109375" style="1" customWidth="1"/>
    <col min="2828" max="2828" width="10.5703125" style="1" customWidth="1"/>
    <col min="2829" max="2829" width="1.140625" style="1" customWidth="1"/>
    <col min="2830" max="2830" width="11.28515625" style="1" customWidth="1"/>
    <col min="2831" max="2831" width="12.7109375" style="1" customWidth="1"/>
    <col min="2832" max="2832" width="11.5703125" style="1" customWidth="1"/>
    <col min="2833" max="2833" width="12.42578125" style="1" customWidth="1"/>
    <col min="2834" max="2834" width="1.5703125" style="1" customWidth="1"/>
    <col min="2835" max="2835" width="11.42578125" style="1" customWidth="1"/>
    <col min="2836" max="2836" width="12.140625" style="1" customWidth="1"/>
    <col min="2837" max="2837" width="1.7109375" style="1" customWidth="1"/>
    <col min="2838" max="2838" width="13.5703125" style="1" customWidth="1"/>
    <col min="2839" max="3075" width="9.140625" style="1"/>
    <col min="3076" max="3076" width="9.28515625" style="1" customWidth="1"/>
    <col min="3077" max="3077" width="1.7109375" style="1" customWidth="1"/>
    <col min="3078" max="3081" width="12" style="1" customWidth="1"/>
    <col min="3082" max="3082" width="11.85546875" style="1" customWidth="1"/>
    <col min="3083" max="3083" width="10.7109375" style="1" customWidth="1"/>
    <col min="3084" max="3084" width="10.5703125" style="1" customWidth="1"/>
    <col min="3085" max="3085" width="1.140625" style="1" customWidth="1"/>
    <col min="3086" max="3086" width="11.28515625" style="1" customWidth="1"/>
    <col min="3087" max="3087" width="12.7109375" style="1" customWidth="1"/>
    <col min="3088" max="3088" width="11.5703125" style="1" customWidth="1"/>
    <col min="3089" max="3089" width="12.42578125" style="1" customWidth="1"/>
    <col min="3090" max="3090" width="1.5703125" style="1" customWidth="1"/>
    <col min="3091" max="3091" width="11.42578125" style="1" customWidth="1"/>
    <col min="3092" max="3092" width="12.140625" style="1" customWidth="1"/>
    <col min="3093" max="3093" width="1.7109375" style="1" customWidth="1"/>
    <col min="3094" max="3094" width="13.5703125" style="1" customWidth="1"/>
    <col min="3095" max="3331" width="9.140625" style="1"/>
    <col min="3332" max="3332" width="9.28515625" style="1" customWidth="1"/>
    <col min="3333" max="3333" width="1.7109375" style="1" customWidth="1"/>
    <col min="3334" max="3337" width="12" style="1" customWidth="1"/>
    <col min="3338" max="3338" width="11.85546875" style="1" customWidth="1"/>
    <col min="3339" max="3339" width="10.7109375" style="1" customWidth="1"/>
    <col min="3340" max="3340" width="10.5703125" style="1" customWidth="1"/>
    <col min="3341" max="3341" width="1.140625" style="1" customWidth="1"/>
    <col min="3342" max="3342" width="11.28515625" style="1" customWidth="1"/>
    <col min="3343" max="3343" width="12.7109375" style="1" customWidth="1"/>
    <col min="3344" max="3344" width="11.5703125" style="1" customWidth="1"/>
    <col min="3345" max="3345" width="12.42578125" style="1" customWidth="1"/>
    <col min="3346" max="3346" width="1.5703125" style="1" customWidth="1"/>
    <col min="3347" max="3347" width="11.42578125" style="1" customWidth="1"/>
    <col min="3348" max="3348" width="12.140625" style="1" customWidth="1"/>
    <col min="3349" max="3349" width="1.7109375" style="1" customWidth="1"/>
    <col min="3350" max="3350" width="13.5703125" style="1" customWidth="1"/>
    <col min="3351" max="3587" width="9.140625" style="1"/>
    <col min="3588" max="3588" width="9.28515625" style="1" customWidth="1"/>
    <col min="3589" max="3589" width="1.7109375" style="1" customWidth="1"/>
    <col min="3590" max="3593" width="12" style="1" customWidth="1"/>
    <col min="3594" max="3594" width="11.85546875" style="1" customWidth="1"/>
    <col min="3595" max="3595" width="10.7109375" style="1" customWidth="1"/>
    <col min="3596" max="3596" width="10.5703125" style="1" customWidth="1"/>
    <col min="3597" max="3597" width="1.140625" style="1" customWidth="1"/>
    <col min="3598" max="3598" width="11.28515625" style="1" customWidth="1"/>
    <col min="3599" max="3599" width="12.7109375" style="1" customWidth="1"/>
    <col min="3600" max="3600" width="11.5703125" style="1" customWidth="1"/>
    <col min="3601" max="3601" width="12.42578125" style="1" customWidth="1"/>
    <col min="3602" max="3602" width="1.5703125" style="1" customWidth="1"/>
    <col min="3603" max="3603" width="11.42578125" style="1" customWidth="1"/>
    <col min="3604" max="3604" width="12.140625" style="1" customWidth="1"/>
    <col min="3605" max="3605" width="1.7109375" style="1" customWidth="1"/>
    <col min="3606" max="3606" width="13.5703125" style="1" customWidth="1"/>
    <col min="3607" max="3843" width="9.140625" style="1"/>
    <col min="3844" max="3844" width="9.28515625" style="1" customWidth="1"/>
    <col min="3845" max="3845" width="1.7109375" style="1" customWidth="1"/>
    <col min="3846" max="3849" width="12" style="1" customWidth="1"/>
    <col min="3850" max="3850" width="11.85546875" style="1" customWidth="1"/>
    <col min="3851" max="3851" width="10.7109375" style="1" customWidth="1"/>
    <col min="3852" max="3852" width="10.5703125" style="1" customWidth="1"/>
    <col min="3853" max="3853" width="1.140625" style="1" customWidth="1"/>
    <col min="3854" max="3854" width="11.28515625" style="1" customWidth="1"/>
    <col min="3855" max="3855" width="12.7109375" style="1" customWidth="1"/>
    <col min="3856" max="3856" width="11.5703125" style="1" customWidth="1"/>
    <col min="3857" max="3857" width="12.42578125" style="1" customWidth="1"/>
    <col min="3858" max="3858" width="1.5703125" style="1" customWidth="1"/>
    <col min="3859" max="3859" width="11.42578125" style="1" customWidth="1"/>
    <col min="3860" max="3860" width="12.140625" style="1" customWidth="1"/>
    <col min="3861" max="3861" width="1.7109375" style="1" customWidth="1"/>
    <col min="3862" max="3862" width="13.5703125" style="1" customWidth="1"/>
    <col min="3863" max="4099" width="9.140625" style="1"/>
    <col min="4100" max="4100" width="9.28515625" style="1" customWidth="1"/>
    <col min="4101" max="4101" width="1.7109375" style="1" customWidth="1"/>
    <col min="4102" max="4105" width="12" style="1" customWidth="1"/>
    <col min="4106" max="4106" width="11.85546875" style="1" customWidth="1"/>
    <col min="4107" max="4107" width="10.7109375" style="1" customWidth="1"/>
    <col min="4108" max="4108" width="10.5703125" style="1" customWidth="1"/>
    <col min="4109" max="4109" width="1.140625" style="1" customWidth="1"/>
    <col min="4110" max="4110" width="11.28515625" style="1" customWidth="1"/>
    <col min="4111" max="4111" width="12.7109375" style="1" customWidth="1"/>
    <col min="4112" max="4112" width="11.5703125" style="1" customWidth="1"/>
    <col min="4113" max="4113" width="12.42578125" style="1" customWidth="1"/>
    <col min="4114" max="4114" width="1.5703125" style="1" customWidth="1"/>
    <col min="4115" max="4115" width="11.42578125" style="1" customWidth="1"/>
    <col min="4116" max="4116" width="12.140625" style="1" customWidth="1"/>
    <col min="4117" max="4117" width="1.7109375" style="1" customWidth="1"/>
    <col min="4118" max="4118" width="13.5703125" style="1" customWidth="1"/>
    <col min="4119" max="4355" width="9.140625" style="1"/>
    <col min="4356" max="4356" width="9.28515625" style="1" customWidth="1"/>
    <col min="4357" max="4357" width="1.7109375" style="1" customWidth="1"/>
    <col min="4358" max="4361" width="12" style="1" customWidth="1"/>
    <col min="4362" max="4362" width="11.85546875" style="1" customWidth="1"/>
    <col min="4363" max="4363" width="10.7109375" style="1" customWidth="1"/>
    <col min="4364" max="4364" width="10.5703125" style="1" customWidth="1"/>
    <col min="4365" max="4365" width="1.140625" style="1" customWidth="1"/>
    <col min="4366" max="4366" width="11.28515625" style="1" customWidth="1"/>
    <col min="4367" max="4367" width="12.7109375" style="1" customWidth="1"/>
    <col min="4368" max="4368" width="11.5703125" style="1" customWidth="1"/>
    <col min="4369" max="4369" width="12.42578125" style="1" customWidth="1"/>
    <col min="4370" max="4370" width="1.5703125" style="1" customWidth="1"/>
    <col min="4371" max="4371" width="11.42578125" style="1" customWidth="1"/>
    <col min="4372" max="4372" width="12.140625" style="1" customWidth="1"/>
    <col min="4373" max="4373" width="1.7109375" style="1" customWidth="1"/>
    <col min="4374" max="4374" width="13.5703125" style="1" customWidth="1"/>
    <col min="4375" max="4611" width="9.140625" style="1"/>
    <col min="4612" max="4612" width="9.28515625" style="1" customWidth="1"/>
    <col min="4613" max="4613" width="1.7109375" style="1" customWidth="1"/>
    <col min="4614" max="4617" width="12" style="1" customWidth="1"/>
    <col min="4618" max="4618" width="11.85546875" style="1" customWidth="1"/>
    <col min="4619" max="4619" width="10.7109375" style="1" customWidth="1"/>
    <col min="4620" max="4620" width="10.5703125" style="1" customWidth="1"/>
    <col min="4621" max="4621" width="1.140625" style="1" customWidth="1"/>
    <col min="4622" max="4622" width="11.28515625" style="1" customWidth="1"/>
    <col min="4623" max="4623" width="12.7109375" style="1" customWidth="1"/>
    <col min="4624" max="4624" width="11.5703125" style="1" customWidth="1"/>
    <col min="4625" max="4625" width="12.42578125" style="1" customWidth="1"/>
    <col min="4626" max="4626" width="1.5703125" style="1" customWidth="1"/>
    <col min="4627" max="4627" width="11.42578125" style="1" customWidth="1"/>
    <col min="4628" max="4628" width="12.140625" style="1" customWidth="1"/>
    <col min="4629" max="4629" width="1.7109375" style="1" customWidth="1"/>
    <col min="4630" max="4630" width="13.5703125" style="1" customWidth="1"/>
    <col min="4631" max="4867" width="9.140625" style="1"/>
    <col min="4868" max="4868" width="9.28515625" style="1" customWidth="1"/>
    <col min="4869" max="4869" width="1.7109375" style="1" customWidth="1"/>
    <col min="4870" max="4873" width="12" style="1" customWidth="1"/>
    <col min="4874" max="4874" width="11.85546875" style="1" customWidth="1"/>
    <col min="4875" max="4875" width="10.7109375" style="1" customWidth="1"/>
    <col min="4876" max="4876" width="10.5703125" style="1" customWidth="1"/>
    <col min="4877" max="4877" width="1.140625" style="1" customWidth="1"/>
    <col min="4878" max="4878" width="11.28515625" style="1" customWidth="1"/>
    <col min="4879" max="4879" width="12.7109375" style="1" customWidth="1"/>
    <col min="4880" max="4880" width="11.5703125" style="1" customWidth="1"/>
    <col min="4881" max="4881" width="12.42578125" style="1" customWidth="1"/>
    <col min="4882" max="4882" width="1.5703125" style="1" customWidth="1"/>
    <col min="4883" max="4883" width="11.42578125" style="1" customWidth="1"/>
    <col min="4884" max="4884" width="12.140625" style="1" customWidth="1"/>
    <col min="4885" max="4885" width="1.7109375" style="1" customWidth="1"/>
    <col min="4886" max="4886" width="13.5703125" style="1" customWidth="1"/>
    <col min="4887" max="5123" width="9.140625" style="1"/>
    <col min="5124" max="5124" width="9.28515625" style="1" customWidth="1"/>
    <col min="5125" max="5125" width="1.7109375" style="1" customWidth="1"/>
    <col min="5126" max="5129" width="12" style="1" customWidth="1"/>
    <col min="5130" max="5130" width="11.85546875" style="1" customWidth="1"/>
    <col min="5131" max="5131" width="10.7109375" style="1" customWidth="1"/>
    <col min="5132" max="5132" width="10.5703125" style="1" customWidth="1"/>
    <col min="5133" max="5133" width="1.140625" style="1" customWidth="1"/>
    <col min="5134" max="5134" width="11.28515625" style="1" customWidth="1"/>
    <col min="5135" max="5135" width="12.7109375" style="1" customWidth="1"/>
    <col min="5136" max="5136" width="11.5703125" style="1" customWidth="1"/>
    <col min="5137" max="5137" width="12.42578125" style="1" customWidth="1"/>
    <col min="5138" max="5138" width="1.5703125" style="1" customWidth="1"/>
    <col min="5139" max="5139" width="11.42578125" style="1" customWidth="1"/>
    <col min="5140" max="5140" width="12.140625" style="1" customWidth="1"/>
    <col min="5141" max="5141" width="1.7109375" style="1" customWidth="1"/>
    <col min="5142" max="5142" width="13.5703125" style="1" customWidth="1"/>
    <col min="5143" max="5379" width="9.140625" style="1"/>
    <col min="5380" max="5380" width="9.28515625" style="1" customWidth="1"/>
    <col min="5381" max="5381" width="1.7109375" style="1" customWidth="1"/>
    <col min="5382" max="5385" width="12" style="1" customWidth="1"/>
    <col min="5386" max="5386" width="11.85546875" style="1" customWidth="1"/>
    <col min="5387" max="5387" width="10.7109375" style="1" customWidth="1"/>
    <col min="5388" max="5388" width="10.5703125" style="1" customWidth="1"/>
    <col min="5389" max="5389" width="1.140625" style="1" customWidth="1"/>
    <col min="5390" max="5390" width="11.28515625" style="1" customWidth="1"/>
    <col min="5391" max="5391" width="12.7109375" style="1" customWidth="1"/>
    <col min="5392" max="5392" width="11.5703125" style="1" customWidth="1"/>
    <col min="5393" max="5393" width="12.42578125" style="1" customWidth="1"/>
    <col min="5394" max="5394" width="1.5703125" style="1" customWidth="1"/>
    <col min="5395" max="5395" width="11.42578125" style="1" customWidth="1"/>
    <col min="5396" max="5396" width="12.140625" style="1" customWidth="1"/>
    <col min="5397" max="5397" width="1.7109375" style="1" customWidth="1"/>
    <col min="5398" max="5398" width="13.5703125" style="1" customWidth="1"/>
    <col min="5399" max="5635" width="9.140625" style="1"/>
    <col min="5636" max="5636" width="9.28515625" style="1" customWidth="1"/>
    <col min="5637" max="5637" width="1.7109375" style="1" customWidth="1"/>
    <col min="5638" max="5641" width="12" style="1" customWidth="1"/>
    <col min="5642" max="5642" width="11.85546875" style="1" customWidth="1"/>
    <col min="5643" max="5643" width="10.7109375" style="1" customWidth="1"/>
    <col min="5644" max="5644" width="10.5703125" style="1" customWidth="1"/>
    <col min="5645" max="5645" width="1.140625" style="1" customWidth="1"/>
    <col min="5646" max="5646" width="11.28515625" style="1" customWidth="1"/>
    <col min="5647" max="5647" width="12.7109375" style="1" customWidth="1"/>
    <col min="5648" max="5648" width="11.5703125" style="1" customWidth="1"/>
    <col min="5649" max="5649" width="12.42578125" style="1" customWidth="1"/>
    <col min="5650" max="5650" width="1.5703125" style="1" customWidth="1"/>
    <col min="5651" max="5651" width="11.42578125" style="1" customWidth="1"/>
    <col min="5652" max="5652" width="12.140625" style="1" customWidth="1"/>
    <col min="5653" max="5653" width="1.7109375" style="1" customWidth="1"/>
    <col min="5654" max="5654" width="13.5703125" style="1" customWidth="1"/>
    <col min="5655" max="5891" width="9.140625" style="1"/>
    <col min="5892" max="5892" width="9.28515625" style="1" customWidth="1"/>
    <col min="5893" max="5893" width="1.7109375" style="1" customWidth="1"/>
    <col min="5894" max="5897" width="12" style="1" customWidth="1"/>
    <col min="5898" max="5898" width="11.85546875" style="1" customWidth="1"/>
    <col min="5899" max="5899" width="10.7109375" style="1" customWidth="1"/>
    <col min="5900" max="5900" width="10.5703125" style="1" customWidth="1"/>
    <col min="5901" max="5901" width="1.140625" style="1" customWidth="1"/>
    <col min="5902" max="5902" width="11.28515625" style="1" customWidth="1"/>
    <col min="5903" max="5903" width="12.7109375" style="1" customWidth="1"/>
    <col min="5904" max="5904" width="11.5703125" style="1" customWidth="1"/>
    <col min="5905" max="5905" width="12.42578125" style="1" customWidth="1"/>
    <col min="5906" max="5906" width="1.5703125" style="1" customWidth="1"/>
    <col min="5907" max="5907" width="11.42578125" style="1" customWidth="1"/>
    <col min="5908" max="5908" width="12.140625" style="1" customWidth="1"/>
    <col min="5909" max="5909" width="1.7109375" style="1" customWidth="1"/>
    <col min="5910" max="5910" width="13.5703125" style="1" customWidth="1"/>
    <col min="5911" max="6147" width="9.140625" style="1"/>
    <col min="6148" max="6148" width="9.28515625" style="1" customWidth="1"/>
    <col min="6149" max="6149" width="1.7109375" style="1" customWidth="1"/>
    <col min="6150" max="6153" width="12" style="1" customWidth="1"/>
    <col min="6154" max="6154" width="11.85546875" style="1" customWidth="1"/>
    <col min="6155" max="6155" width="10.7109375" style="1" customWidth="1"/>
    <col min="6156" max="6156" width="10.5703125" style="1" customWidth="1"/>
    <col min="6157" max="6157" width="1.140625" style="1" customWidth="1"/>
    <col min="6158" max="6158" width="11.28515625" style="1" customWidth="1"/>
    <col min="6159" max="6159" width="12.7109375" style="1" customWidth="1"/>
    <col min="6160" max="6160" width="11.5703125" style="1" customWidth="1"/>
    <col min="6161" max="6161" width="12.42578125" style="1" customWidth="1"/>
    <col min="6162" max="6162" width="1.5703125" style="1" customWidth="1"/>
    <col min="6163" max="6163" width="11.42578125" style="1" customWidth="1"/>
    <col min="6164" max="6164" width="12.140625" style="1" customWidth="1"/>
    <col min="6165" max="6165" width="1.7109375" style="1" customWidth="1"/>
    <col min="6166" max="6166" width="13.5703125" style="1" customWidth="1"/>
    <col min="6167" max="6403" width="9.140625" style="1"/>
    <col min="6404" max="6404" width="9.28515625" style="1" customWidth="1"/>
    <col min="6405" max="6405" width="1.7109375" style="1" customWidth="1"/>
    <col min="6406" max="6409" width="12" style="1" customWidth="1"/>
    <col min="6410" max="6410" width="11.85546875" style="1" customWidth="1"/>
    <col min="6411" max="6411" width="10.7109375" style="1" customWidth="1"/>
    <col min="6412" max="6412" width="10.5703125" style="1" customWidth="1"/>
    <col min="6413" max="6413" width="1.140625" style="1" customWidth="1"/>
    <col min="6414" max="6414" width="11.28515625" style="1" customWidth="1"/>
    <col min="6415" max="6415" width="12.7109375" style="1" customWidth="1"/>
    <col min="6416" max="6416" width="11.5703125" style="1" customWidth="1"/>
    <col min="6417" max="6417" width="12.42578125" style="1" customWidth="1"/>
    <col min="6418" max="6418" width="1.5703125" style="1" customWidth="1"/>
    <col min="6419" max="6419" width="11.42578125" style="1" customWidth="1"/>
    <col min="6420" max="6420" width="12.140625" style="1" customWidth="1"/>
    <col min="6421" max="6421" width="1.7109375" style="1" customWidth="1"/>
    <col min="6422" max="6422" width="13.5703125" style="1" customWidth="1"/>
    <col min="6423" max="6659" width="9.140625" style="1"/>
    <col min="6660" max="6660" width="9.28515625" style="1" customWidth="1"/>
    <col min="6661" max="6661" width="1.7109375" style="1" customWidth="1"/>
    <col min="6662" max="6665" width="12" style="1" customWidth="1"/>
    <col min="6666" max="6666" width="11.85546875" style="1" customWidth="1"/>
    <col min="6667" max="6667" width="10.7109375" style="1" customWidth="1"/>
    <col min="6668" max="6668" width="10.5703125" style="1" customWidth="1"/>
    <col min="6669" max="6669" width="1.140625" style="1" customWidth="1"/>
    <col min="6670" max="6670" width="11.28515625" style="1" customWidth="1"/>
    <col min="6671" max="6671" width="12.7109375" style="1" customWidth="1"/>
    <col min="6672" max="6672" width="11.5703125" style="1" customWidth="1"/>
    <col min="6673" max="6673" width="12.42578125" style="1" customWidth="1"/>
    <col min="6674" max="6674" width="1.5703125" style="1" customWidth="1"/>
    <col min="6675" max="6675" width="11.42578125" style="1" customWidth="1"/>
    <col min="6676" max="6676" width="12.140625" style="1" customWidth="1"/>
    <col min="6677" max="6677" width="1.7109375" style="1" customWidth="1"/>
    <col min="6678" max="6678" width="13.5703125" style="1" customWidth="1"/>
    <col min="6679" max="6915" width="9.140625" style="1"/>
    <col min="6916" max="6916" width="9.28515625" style="1" customWidth="1"/>
    <col min="6917" max="6917" width="1.7109375" style="1" customWidth="1"/>
    <col min="6918" max="6921" width="12" style="1" customWidth="1"/>
    <col min="6922" max="6922" width="11.85546875" style="1" customWidth="1"/>
    <col min="6923" max="6923" width="10.7109375" style="1" customWidth="1"/>
    <col min="6924" max="6924" width="10.5703125" style="1" customWidth="1"/>
    <col min="6925" max="6925" width="1.140625" style="1" customWidth="1"/>
    <col min="6926" max="6926" width="11.28515625" style="1" customWidth="1"/>
    <col min="6927" max="6927" width="12.7109375" style="1" customWidth="1"/>
    <col min="6928" max="6928" width="11.5703125" style="1" customWidth="1"/>
    <col min="6929" max="6929" width="12.42578125" style="1" customWidth="1"/>
    <col min="6930" max="6930" width="1.5703125" style="1" customWidth="1"/>
    <col min="6931" max="6931" width="11.42578125" style="1" customWidth="1"/>
    <col min="6932" max="6932" width="12.140625" style="1" customWidth="1"/>
    <col min="6933" max="6933" width="1.7109375" style="1" customWidth="1"/>
    <col min="6934" max="6934" width="13.5703125" style="1" customWidth="1"/>
    <col min="6935" max="7171" width="9.140625" style="1"/>
    <col min="7172" max="7172" width="9.28515625" style="1" customWidth="1"/>
    <col min="7173" max="7173" width="1.7109375" style="1" customWidth="1"/>
    <col min="7174" max="7177" width="12" style="1" customWidth="1"/>
    <col min="7178" max="7178" width="11.85546875" style="1" customWidth="1"/>
    <col min="7179" max="7179" width="10.7109375" style="1" customWidth="1"/>
    <col min="7180" max="7180" width="10.5703125" style="1" customWidth="1"/>
    <col min="7181" max="7181" width="1.140625" style="1" customWidth="1"/>
    <col min="7182" max="7182" width="11.28515625" style="1" customWidth="1"/>
    <col min="7183" max="7183" width="12.7109375" style="1" customWidth="1"/>
    <col min="7184" max="7184" width="11.5703125" style="1" customWidth="1"/>
    <col min="7185" max="7185" width="12.42578125" style="1" customWidth="1"/>
    <col min="7186" max="7186" width="1.5703125" style="1" customWidth="1"/>
    <col min="7187" max="7187" width="11.42578125" style="1" customWidth="1"/>
    <col min="7188" max="7188" width="12.140625" style="1" customWidth="1"/>
    <col min="7189" max="7189" width="1.7109375" style="1" customWidth="1"/>
    <col min="7190" max="7190" width="13.5703125" style="1" customWidth="1"/>
    <col min="7191" max="7427" width="9.140625" style="1"/>
    <col min="7428" max="7428" width="9.28515625" style="1" customWidth="1"/>
    <col min="7429" max="7429" width="1.7109375" style="1" customWidth="1"/>
    <col min="7430" max="7433" width="12" style="1" customWidth="1"/>
    <col min="7434" max="7434" width="11.85546875" style="1" customWidth="1"/>
    <col min="7435" max="7435" width="10.7109375" style="1" customWidth="1"/>
    <col min="7436" max="7436" width="10.5703125" style="1" customWidth="1"/>
    <col min="7437" max="7437" width="1.140625" style="1" customWidth="1"/>
    <col min="7438" max="7438" width="11.28515625" style="1" customWidth="1"/>
    <col min="7439" max="7439" width="12.7109375" style="1" customWidth="1"/>
    <col min="7440" max="7440" width="11.5703125" style="1" customWidth="1"/>
    <col min="7441" max="7441" width="12.42578125" style="1" customWidth="1"/>
    <col min="7442" max="7442" width="1.5703125" style="1" customWidth="1"/>
    <col min="7443" max="7443" width="11.42578125" style="1" customWidth="1"/>
    <col min="7444" max="7444" width="12.140625" style="1" customWidth="1"/>
    <col min="7445" max="7445" width="1.7109375" style="1" customWidth="1"/>
    <col min="7446" max="7446" width="13.5703125" style="1" customWidth="1"/>
    <col min="7447" max="7683" width="9.140625" style="1"/>
    <col min="7684" max="7684" width="9.28515625" style="1" customWidth="1"/>
    <col min="7685" max="7685" width="1.7109375" style="1" customWidth="1"/>
    <col min="7686" max="7689" width="12" style="1" customWidth="1"/>
    <col min="7690" max="7690" width="11.85546875" style="1" customWidth="1"/>
    <col min="7691" max="7691" width="10.7109375" style="1" customWidth="1"/>
    <col min="7692" max="7692" width="10.5703125" style="1" customWidth="1"/>
    <col min="7693" max="7693" width="1.140625" style="1" customWidth="1"/>
    <col min="7694" max="7694" width="11.28515625" style="1" customWidth="1"/>
    <col min="7695" max="7695" width="12.7109375" style="1" customWidth="1"/>
    <col min="7696" max="7696" width="11.5703125" style="1" customWidth="1"/>
    <col min="7697" max="7697" width="12.42578125" style="1" customWidth="1"/>
    <col min="7698" max="7698" width="1.5703125" style="1" customWidth="1"/>
    <col min="7699" max="7699" width="11.42578125" style="1" customWidth="1"/>
    <col min="7700" max="7700" width="12.140625" style="1" customWidth="1"/>
    <col min="7701" max="7701" width="1.7109375" style="1" customWidth="1"/>
    <col min="7702" max="7702" width="13.5703125" style="1" customWidth="1"/>
    <col min="7703" max="7939" width="9.140625" style="1"/>
    <col min="7940" max="7940" width="9.28515625" style="1" customWidth="1"/>
    <col min="7941" max="7941" width="1.7109375" style="1" customWidth="1"/>
    <col min="7942" max="7945" width="12" style="1" customWidth="1"/>
    <col min="7946" max="7946" width="11.85546875" style="1" customWidth="1"/>
    <col min="7947" max="7947" width="10.7109375" style="1" customWidth="1"/>
    <col min="7948" max="7948" width="10.5703125" style="1" customWidth="1"/>
    <col min="7949" max="7949" width="1.140625" style="1" customWidth="1"/>
    <col min="7950" max="7950" width="11.28515625" style="1" customWidth="1"/>
    <col min="7951" max="7951" width="12.7109375" style="1" customWidth="1"/>
    <col min="7952" max="7952" width="11.5703125" style="1" customWidth="1"/>
    <col min="7953" max="7953" width="12.42578125" style="1" customWidth="1"/>
    <col min="7954" max="7954" width="1.5703125" style="1" customWidth="1"/>
    <col min="7955" max="7955" width="11.42578125" style="1" customWidth="1"/>
    <col min="7956" max="7956" width="12.140625" style="1" customWidth="1"/>
    <col min="7957" max="7957" width="1.7109375" style="1" customWidth="1"/>
    <col min="7958" max="7958" width="13.5703125" style="1" customWidth="1"/>
    <col min="7959" max="8195" width="9.140625" style="1"/>
    <col min="8196" max="8196" width="9.28515625" style="1" customWidth="1"/>
    <col min="8197" max="8197" width="1.7109375" style="1" customWidth="1"/>
    <col min="8198" max="8201" width="12" style="1" customWidth="1"/>
    <col min="8202" max="8202" width="11.85546875" style="1" customWidth="1"/>
    <col min="8203" max="8203" width="10.7109375" style="1" customWidth="1"/>
    <col min="8204" max="8204" width="10.5703125" style="1" customWidth="1"/>
    <col min="8205" max="8205" width="1.140625" style="1" customWidth="1"/>
    <col min="8206" max="8206" width="11.28515625" style="1" customWidth="1"/>
    <col min="8207" max="8207" width="12.7109375" style="1" customWidth="1"/>
    <col min="8208" max="8208" width="11.5703125" style="1" customWidth="1"/>
    <col min="8209" max="8209" width="12.42578125" style="1" customWidth="1"/>
    <col min="8210" max="8210" width="1.5703125" style="1" customWidth="1"/>
    <col min="8211" max="8211" width="11.42578125" style="1" customWidth="1"/>
    <col min="8212" max="8212" width="12.140625" style="1" customWidth="1"/>
    <col min="8213" max="8213" width="1.7109375" style="1" customWidth="1"/>
    <col min="8214" max="8214" width="13.5703125" style="1" customWidth="1"/>
    <col min="8215" max="8451" width="9.140625" style="1"/>
    <col min="8452" max="8452" width="9.28515625" style="1" customWidth="1"/>
    <col min="8453" max="8453" width="1.7109375" style="1" customWidth="1"/>
    <col min="8454" max="8457" width="12" style="1" customWidth="1"/>
    <col min="8458" max="8458" width="11.85546875" style="1" customWidth="1"/>
    <col min="8459" max="8459" width="10.7109375" style="1" customWidth="1"/>
    <col min="8460" max="8460" width="10.5703125" style="1" customWidth="1"/>
    <col min="8461" max="8461" width="1.140625" style="1" customWidth="1"/>
    <col min="8462" max="8462" width="11.28515625" style="1" customWidth="1"/>
    <col min="8463" max="8463" width="12.7109375" style="1" customWidth="1"/>
    <col min="8464" max="8464" width="11.5703125" style="1" customWidth="1"/>
    <col min="8465" max="8465" width="12.42578125" style="1" customWidth="1"/>
    <col min="8466" max="8466" width="1.5703125" style="1" customWidth="1"/>
    <col min="8467" max="8467" width="11.42578125" style="1" customWidth="1"/>
    <col min="8468" max="8468" width="12.140625" style="1" customWidth="1"/>
    <col min="8469" max="8469" width="1.7109375" style="1" customWidth="1"/>
    <col min="8470" max="8470" width="13.5703125" style="1" customWidth="1"/>
    <col min="8471" max="8707" width="9.140625" style="1"/>
    <col min="8708" max="8708" width="9.28515625" style="1" customWidth="1"/>
    <col min="8709" max="8709" width="1.7109375" style="1" customWidth="1"/>
    <col min="8710" max="8713" width="12" style="1" customWidth="1"/>
    <col min="8714" max="8714" width="11.85546875" style="1" customWidth="1"/>
    <col min="8715" max="8715" width="10.7109375" style="1" customWidth="1"/>
    <col min="8716" max="8716" width="10.5703125" style="1" customWidth="1"/>
    <col min="8717" max="8717" width="1.140625" style="1" customWidth="1"/>
    <col min="8718" max="8718" width="11.28515625" style="1" customWidth="1"/>
    <col min="8719" max="8719" width="12.7109375" style="1" customWidth="1"/>
    <col min="8720" max="8720" width="11.5703125" style="1" customWidth="1"/>
    <col min="8721" max="8721" width="12.42578125" style="1" customWidth="1"/>
    <col min="8722" max="8722" width="1.5703125" style="1" customWidth="1"/>
    <col min="8723" max="8723" width="11.42578125" style="1" customWidth="1"/>
    <col min="8724" max="8724" width="12.140625" style="1" customWidth="1"/>
    <col min="8725" max="8725" width="1.7109375" style="1" customWidth="1"/>
    <col min="8726" max="8726" width="13.5703125" style="1" customWidth="1"/>
    <col min="8727" max="8963" width="9.140625" style="1"/>
    <col min="8964" max="8964" width="9.28515625" style="1" customWidth="1"/>
    <col min="8965" max="8965" width="1.7109375" style="1" customWidth="1"/>
    <col min="8966" max="8969" width="12" style="1" customWidth="1"/>
    <col min="8970" max="8970" width="11.85546875" style="1" customWidth="1"/>
    <col min="8971" max="8971" width="10.7109375" style="1" customWidth="1"/>
    <col min="8972" max="8972" width="10.5703125" style="1" customWidth="1"/>
    <col min="8973" max="8973" width="1.140625" style="1" customWidth="1"/>
    <col min="8974" max="8974" width="11.28515625" style="1" customWidth="1"/>
    <col min="8975" max="8975" width="12.7109375" style="1" customWidth="1"/>
    <col min="8976" max="8976" width="11.5703125" style="1" customWidth="1"/>
    <col min="8977" max="8977" width="12.42578125" style="1" customWidth="1"/>
    <col min="8978" max="8978" width="1.5703125" style="1" customWidth="1"/>
    <col min="8979" max="8979" width="11.42578125" style="1" customWidth="1"/>
    <col min="8980" max="8980" width="12.140625" style="1" customWidth="1"/>
    <col min="8981" max="8981" width="1.7109375" style="1" customWidth="1"/>
    <col min="8982" max="8982" width="13.5703125" style="1" customWidth="1"/>
    <col min="8983" max="9219" width="9.140625" style="1"/>
    <col min="9220" max="9220" width="9.28515625" style="1" customWidth="1"/>
    <col min="9221" max="9221" width="1.7109375" style="1" customWidth="1"/>
    <col min="9222" max="9225" width="12" style="1" customWidth="1"/>
    <col min="9226" max="9226" width="11.85546875" style="1" customWidth="1"/>
    <col min="9227" max="9227" width="10.7109375" style="1" customWidth="1"/>
    <col min="9228" max="9228" width="10.5703125" style="1" customWidth="1"/>
    <col min="9229" max="9229" width="1.140625" style="1" customWidth="1"/>
    <col min="9230" max="9230" width="11.28515625" style="1" customWidth="1"/>
    <col min="9231" max="9231" width="12.7109375" style="1" customWidth="1"/>
    <col min="9232" max="9232" width="11.5703125" style="1" customWidth="1"/>
    <col min="9233" max="9233" width="12.42578125" style="1" customWidth="1"/>
    <col min="9234" max="9234" width="1.5703125" style="1" customWidth="1"/>
    <col min="9235" max="9235" width="11.42578125" style="1" customWidth="1"/>
    <col min="9236" max="9236" width="12.140625" style="1" customWidth="1"/>
    <col min="9237" max="9237" width="1.7109375" style="1" customWidth="1"/>
    <col min="9238" max="9238" width="13.5703125" style="1" customWidth="1"/>
    <col min="9239" max="9475" width="9.140625" style="1"/>
    <col min="9476" max="9476" width="9.28515625" style="1" customWidth="1"/>
    <col min="9477" max="9477" width="1.7109375" style="1" customWidth="1"/>
    <col min="9478" max="9481" width="12" style="1" customWidth="1"/>
    <col min="9482" max="9482" width="11.85546875" style="1" customWidth="1"/>
    <col min="9483" max="9483" width="10.7109375" style="1" customWidth="1"/>
    <col min="9484" max="9484" width="10.5703125" style="1" customWidth="1"/>
    <col min="9485" max="9485" width="1.140625" style="1" customWidth="1"/>
    <col min="9486" max="9486" width="11.28515625" style="1" customWidth="1"/>
    <col min="9487" max="9487" width="12.7109375" style="1" customWidth="1"/>
    <col min="9488" max="9488" width="11.5703125" style="1" customWidth="1"/>
    <col min="9489" max="9489" width="12.42578125" style="1" customWidth="1"/>
    <col min="9490" max="9490" width="1.5703125" style="1" customWidth="1"/>
    <col min="9491" max="9491" width="11.42578125" style="1" customWidth="1"/>
    <col min="9492" max="9492" width="12.140625" style="1" customWidth="1"/>
    <col min="9493" max="9493" width="1.7109375" style="1" customWidth="1"/>
    <col min="9494" max="9494" width="13.5703125" style="1" customWidth="1"/>
    <col min="9495" max="9731" width="9.140625" style="1"/>
    <col min="9732" max="9732" width="9.28515625" style="1" customWidth="1"/>
    <col min="9733" max="9733" width="1.7109375" style="1" customWidth="1"/>
    <col min="9734" max="9737" width="12" style="1" customWidth="1"/>
    <col min="9738" max="9738" width="11.85546875" style="1" customWidth="1"/>
    <col min="9739" max="9739" width="10.7109375" style="1" customWidth="1"/>
    <col min="9740" max="9740" width="10.5703125" style="1" customWidth="1"/>
    <col min="9741" max="9741" width="1.140625" style="1" customWidth="1"/>
    <col min="9742" max="9742" width="11.28515625" style="1" customWidth="1"/>
    <col min="9743" max="9743" width="12.7109375" style="1" customWidth="1"/>
    <col min="9744" max="9744" width="11.5703125" style="1" customWidth="1"/>
    <col min="9745" max="9745" width="12.42578125" style="1" customWidth="1"/>
    <col min="9746" max="9746" width="1.5703125" style="1" customWidth="1"/>
    <col min="9747" max="9747" width="11.42578125" style="1" customWidth="1"/>
    <col min="9748" max="9748" width="12.140625" style="1" customWidth="1"/>
    <col min="9749" max="9749" width="1.7109375" style="1" customWidth="1"/>
    <col min="9750" max="9750" width="13.5703125" style="1" customWidth="1"/>
    <col min="9751" max="9987" width="9.140625" style="1"/>
    <col min="9988" max="9988" width="9.28515625" style="1" customWidth="1"/>
    <col min="9989" max="9989" width="1.7109375" style="1" customWidth="1"/>
    <col min="9990" max="9993" width="12" style="1" customWidth="1"/>
    <col min="9994" max="9994" width="11.85546875" style="1" customWidth="1"/>
    <col min="9995" max="9995" width="10.7109375" style="1" customWidth="1"/>
    <col min="9996" max="9996" width="10.5703125" style="1" customWidth="1"/>
    <col min="9997" max="9997" width="1.140625" style="1" customWidth="1"/>
    <col min="9998" max="9998" width="11.28515625" style="1" customWidth="1"/>
    <col min="9999" max="9999" width="12.7109375" style="1" customWidth="1"/>
    <col min="10000" max="10000" width="11.5703125" style="1" customWidth="1"/>
    <col min="10001" max="10001" width="12.42578125" style="1" customWidth="1"/>
    <col min="10002" max="10002" width="1.5703125" style="1" customWidth="1"/>
    <col min="10003" max="10003" width="11.42578125" style="1" customWidth="1"/>
    <col min="10004" max="10004" width="12.140625" style="1" customWidth="1"/>
    <col min="10005" max="10005" width="1.7109375" style="1" customWidth="1"/>
    <col min="10006" max="10006" width="13.5703125" style="1" customWidth="1"/>
    <col min="10007" max="10243" width="9.140625" style="1"/>
    <col min="10244" max="10244" width="9.28515625" style="1" customWidth="1"/>
    <col min="10245" max="10245" width="1.7109375" style="1" customWidth="1"/>
    <col min="10246" max="10249" width="12" style="1" customWidth="1"/>
    <col min="10250" max="10250" width="11.85546875" style="1" customWidth="1"/>
    <col min="10251" max="10251" width="10.7109375" style="1" customWidth="1"/>
    <col min="10252" max="10252" width="10.5703125" style="1" customWidth="1"/>
    <col min="10253" max="10253" width="1.140625" style="1" customWidth="1"/>
    <col min="10254" max="10254" width="11.28515625" style="1" customWidth="1"/>
    <col min="10255" max="10255" width="12.7109375" style="1" customWidth="1"/>
    <col min="10256" max="10256" width="11.5703125" style="1" customWidth="1"/>
    <col min="10257" max="10257" width="12.42578125" style="1" customWidth="1"/>
    <col min="10258" max="10258" width="1.5703125" style="1" customWidth="1"/>
    <col min="10259" max="10259" width="11.42578125" style="1" customWidth="1"/>
    <col min="10260" max="10260" width="12.140625" style="1" customWidth="1"/>
    <col min="10261" max="10261" width="1.7109375" style="1" customWidth="1"/>
    <col min="10262" max="10262" width="13.5703125" style="1" customWidth="1"/>
    <col min="10263" max="10499" width="9.140625" style="1"/>
    <col min="10500" max="10500" width="9.28515625" style="1" customWidth="1"/>
    <col min="10501" max="10501" width="1.7109375" style="1" customWidth="1"/>
    <col min="10502" max="10505" width="12" style="1" customWidth="1"/>
    <col min="10506" max="10506" width="11.85546875" style="1" customWidth="1"/>
    <col min="10507" max="10507" width="10.7109375" style="1" customWidth="1"/>
    <col min="10508" max="10508" width="10.5703125" style="1" customWidth="1"/>
    <col min="10509" max="10509" width="1.140625" style="1" customWidth="1"/>
    <col min="10510" max="10510" width="11.28515625" style="1" customWidth="1"/>
    <col min="10511" max="10511" width="12.7109375" style="1" customWidth="1"/>
    <col min="10512" max="10512" width="11.5703125" style="1" customWidth="1"/>
    <col min="10513" max="10513" width="12.42578125" style="1" customWidth="1"/>
    <col min="10514" max="10514" width="1.5703125" style="1" customWidth="1"/>
    <col min="10515" max="10515" width="11.42578125" style="1" customWidth="1"/>
    <col min="10516" max="10516" width="12.140625" style="1" customWidth="1"/>
    <col min="10517" max="10517" width="1.7109375" style="1" customWidth="1"/>
    <col min="10518" max="10518" width="13.5703125" style="1" customWidth="1"/>
    <col min="10519" max="10755" width="9.140625" style="1"/>
    <col min="10756" max="10756" width="9.28515625" style="1" customWidth="1"/>
    <col min="10757" max="10757" width="1.7109375" style="1" customWidth="1"/>
    <col min="10758" max="10761" width="12" style="1" customWidth="1"/>
    <col min="10762" max="10762" width="11.85546875" style="1" customWidth="1"/>
    <col min="10763" max="10763" width="10.7109375" style="1" customWidth="1"/>
    <col min="10764" max="10764" width="10.5703125" style="1" customWidth="1"/>
    <col min="10765" max="10765" width="1.140625" style="1" customWidth="1"/>
    <col min="10766" max="10766" width="11.28515625" style="1" customWidth="1"/>
    <col min="10767" max="10767" width="12.7109375" style="1" customWidth="1"/>
    <col min="10768" max="10768" width="11.5703125" style="1" customWidth="1"/>
    <col min="10769" max="10769" width="12.42578125" style="1" customWidth="1"/>
    <col min="10770" max="10770" width="1.5703125" style="1" customWidth="1"/>
    <col min="10771" max="10771" width="11.42578125" style="1" customWidth="1"/>
    <col min="10772" max="10772" width="12.140625" style="1" customWidth="1"/>
    <col min="10773" max="10773" width="1.7109375" style="1" customWidth="1"/>
    <col min="10774" max="10774" width="13.5703125" style="1" customWidth="1"/>
    <col min="10775" max="11011" width="9.140625" style="1"/>
    <col min="11012" max="11012" width="9.28515625" style="1" customWidth="1"/>
    <col min="11013" max="11013" width="1.7109375" style="1" customWidth="1"/>
    <col min="11014" max="11017" width="12" style="1" customWidth="1"/>
    <col min="11018" max="11018" width="11.85546875" style="1" customWidth="1"/>
    <col min="11019" max="11019" width="10.7109375" style="1" customWidth="1"/>
    <col min="11020" max="11020" width="10.5703125" style="1" customWidth="1"/>
    <col min="11021" max="11021" width="1.140625" style="1" customWidth="1"/>
    <col min="11022" max="11022" width="11.28515625" style="1" customWidth="1"/>
    <col min="11023" max="11023" width="12.7109375" style="1" customWidth="1"/>
    <col min="11024" max="11024" width="11.5703125" style="1" customWidth="1"/>
    <col min="11025" max="11025" width="12.42578125" style="1" customWidth="1"/>
    <col min="11026" max="11026" width="1.5703125" style="1" customWidth="1"/>
    <col min="11027" max="11027" width="11.42578125" style="1" customWidth="1"/>
    <col min="11028" max="11028" width="12.140625" style="1" customWidth="1"/>
    <col min="11029" max="11029" width="1.7109375" style="1" customWidth="1"/>
    <col min="11030" max="11030" width="13.5703125" style="1" customWidth="1"/>
    <col min="11031" max="11267" width="9.140625" style="1"/>
    <col min="11268" max="11268" width="9.28515625" style="1" customWidth="1"/>
    <col min="11269" max="11269" width="1.7109375" style="1" customWidth="1"/>
    <col min="11270" max="11273" width="12" style="1" customWidth="1"/>
    <col min="11274" max="11274" width="11.85546875" style="1" customWidth="1"/>
    <col min="11275" max="11275" width="10.7109375" style="1" customWidth="1"/>
    <col min="11276" max="11276" width="10.5703125" style="1" customWidth="1"/>
    <col min="11277" max="11277" width="1.140625" style="1" customWidth="1"/>
    <col min="11278" max="11278" width="11.28515625" style="1" customWidth="1"/>
    <col min="11279" max="11279" width="12.7109375" style="1" customWidth="1"/>
    <col min="11280" max="11280" width="11.5703125" style="1" customWidth="1"/>
    <col min="11281" max="11281" width="12.42578125" style="1" customWidth="1"/>
    <col min="11282" max="11282" width="1.5703125" style="1" customWidth="1"/>
    <col min="11283" max="11283" width="11.42578125" style="1" customWidth="1"/>
    <col min="11284" max="11284" width="12.140625" style="1" customWidth="1"/>
    <col min="11285" max="11285" width="1.7109375" style="1" customWidth="1"/>
    <col min="11286" max="11286" width="13.5703125" style="1" customWidth="1"/>
    <col min="11287" max="11523" width="9.140625" style="1"/>
    <col min="11524" max="11524" width="9.28515625" style="1" customWidth="1"/>
    <col min="11525" max="11525" width="1.7109375" style="1" customWidth="1"/>
    <col min="11526" max="11529" width="12" style="1" customWidth="1"/>
    <col min="11530" max="11530" width="11.85546875" style="1" customWidth="1"/>
    <col min="11531" max="11531" width="10.7109375" style="1" customWidth="1"/>
    <col min="11532" max="11532" width="10.5703125" style="1" customWidth="1"/>
    <col min="11533" max="11533" width="1.140625" style="1" customWidth="1"/>
    <col min="11534" max="11534" width="11.28515625" style="1" customWidth="1"/>
    <col min="11535" max="11535" width="12.7109375" style="1" customWidth="1"/>
    <col min="11536" max="11536" width="11.5703125" style="1" customWidth="1"/>
    <col min="11537" max="11537" width="12.42578125" style="1" customWidth="1"/>
    <col min="11538" max="11538" width="1.5703125" style="1" customWidth="1"/>
    <col min="11539" max="11539" width="11.42578125" style="1" customWidth="1"/>
    <col min="11540" max="11540" width="12.140625" style="1" customWidth="1"/>
    <col min="11541" max="11541" width="1.7109375" style="1" customWidth="1"/>
    <col min="11542" max="11542" width="13.5703125" style="1" customWidth="1"/>
    <col min="11543" max="11779" width="9.140625" style="1"/>
    <col min="11780" max="11780" width="9.28515625" style="1" customWidth="1"/>
    <col min="11781" max="11781" width="1.7109375" style="1" customWidth="1"/>
    <col min="11782" max="11785" width="12" style="1" customWidth="1"/>
    <col min="11786" max="11786" width="11.85546875" style="1" customWidth="1"/>
    <col min="11787" max="11787" width="10.7109375" style="1" customWidth="1"/>
    <col min="11788" max="11788" width="10.5703125" style="1" customWidth="1"/>
    <col min="11789" max="11789" width="1.140625" style="1" customWidth="1"/>
    <col min="11790" max="11790" width="11.28515625" style="1" customWidth="1"/>
    <col min="11791" max="11791" width="12.7109375" style="1" customWidth="1"/>
    <col min="11792" max="11792" width="11.5703125" style="1" customWidth="1"/>
    <col min="11793" max="11793" width="12.42578125" style="1" customWidth="1"/>
    <col min="11794" max="11794" width="1.5703125" style="1" customWidth="1"/>
    <col min="11795" max="11795" width="11.42578125" style="1" customWidth="1"/>
    <col min="11796" max="11796" width="12.140625" style="1" customWidth="1"/>
    <col min="11797" max="11797" width="1.7109375" style="1" customWidth="1"/>
    <col min="11798" max="11798" width="13.5703125" style="1" customWidth="1"/>
    <col min="11799" max="12035" width="9.140625" style="1"/>
    <col min="12036" max="12036" width="9.28515625" style="1" customWidth="1"/>
    <col min="12037" max="12037" width="1.7109375" style="1" customWidth="1"/>
    <col min="12038" max="12041" width="12" style="1" customWidth="1"/>
    <col min="12042" max="12042" width="11.85546875" style="1" customWidth="1"/>
    <col min="12043" max="12043" width="10.7109375" style="1" customWidth="1"/>
    <col min="12044" max="12044" width="10.5703125" style="1" customWidth="1"/>
    <col min="12045" max="12045" width="1.140625" style="1" customWidth="1"/>
    <col min="12046" max="12046" width="11.28515625" style="1" customWidth="1"/>
    <col min="12047" max="12047" width="12.7109375" style="1" customWidth="1"/>
    <col min="12048" max="12048" width="11.5703125" style="1" customWidth="1"/>
    <col min="12049" max="12049" width="12.42578125" style="1" customWidth="1"/>
    <col min="12050" max="12050" width="1.5703125" style="1" customWidth="1"/>
    <col min="12051" max="12051" width="11.42578125" style="1" customWidth="1"/>
    <col min="12052" max="12052" width="12.140625" style="1" customWidth="1"/>
    <col min="12053" max="12053" width="1.7109375" style="1" customWidth="1"/>
    <col min="12054" max="12054" width="13.5703125" style="1" customWidth="1"/>
    <col min="12055" max="12291" width="9.140625" style="1"/>
    <col min="12292" max="12292" width="9.28515625" style="1" customWidth="1"/>
    <col min="12293" max="12293" width="1.7109375" style="1" customWidth="1"/>
    <col min="12294" max="12297" width="12" style="1" customWidth="1"/>
    <col min="12298" max="12298" width="11.85546875" style="1" customWidth="1"/>
    <col min="12299" max="12299" width="10.7109375" style="1" customWidth="1"/>
    <col min="12300" max="12300" width="10.5703125" style="1" customWidth="1"/>
    <col min="12301" max="12301" width="1.140625" style="1" customWidth="1"/>
    <col min="12302" max="12302" width="11.28515625" style="1" customWidth="1"/>
    <col min="12303" max="12303" width="12.7109375" style="1" customWidth="1"/>
    <col min="12304" max="12304" width="11.5703125" style="1" customWidth="1"/>
    <col min="12305" max="12305" width="12.42578125" style="1" customWidth="1"/>
    <col min="12306" max="12306" width="1.5703125" style="1" customWidth="1"/>
    <col min="12307" max="12307" width="11.42578125" style="1" customWidth="1"/>
    <col min="12308" max="12308" width="12.140625" style="1" customWidth="1"/>
    <col min="12309" max="12309" width="1.7109375" style="1" customWidth="1"/>
    <col min="12310" max="12310" width="13.5703125" style="1" customWidth="1"/>
    <col min="12311" max="12547" width="9.140625" style="1"/>
    <col min="12548" max="12548" width="9.28515625" style="1" customWidth="1"/>
    <col min="12549" max="12549" width="1.7109375" style="1" customWidth="1"/>
    <col min="12550" max="12553" width="12" style="1" customWidth="1"/>
    <col min="12554" max="12554" width="11.85546875" style="1" customWidth="1"/>
    <col min="12555" max="12555" width="10.7109375" style="1" customWidth="1"/>
    <col min="12556" max="12556" width="10.5703125" style="1" customWidth="1"/>
    <col min="12557" max="12557" width="1.140625" style="1" customWidth="1"/>
    <col min="12558" max="12558" width="11.28515625" style="1" customWidth="1"/>
    <col min="12559" max="12559" width="12.7109375" style="1" customWidth="1"/>
    <col min="12560" max="12560" width="11.5703125" style="1" customWidth="1"/>
    <col min="12561" max="12561" width="12.42578125" style="1" customWidth="1"/>
    <col min="12562" max="12562" width="1.5703125" style="1" customWidth="1"/>
    <col min="12563" max="12563" width="11.42578125" style="1" customWidth="1"/>
    <col min="12564" max="12564" width="12.140625" style="1" customWidth="1"/>
    <col min="12565" max="12565" width="1.7109375" style="1" customWidth="1"/>
    <col min="12566" max="12566" width="13.5703125" style="1" customWidth="1"/>
    <col min="12567" max="12803" width="9.140625" style="1"/>
    <col min="12804" max="12804" width="9.28515625" style="1" customWidth="1"/>
    <col min="12805" max="12805" width="1.7109375" style="1" customWidth="1"/>
    <col min="12806" max="12809" width="12" style="1" customWidth="1"/>
    <col min="12810" max="12810" width="11.85546875" style="1" customWidth="1"/>
    <col min="12811" max="12811" width="10.7109375" style="1" customWidth="1"/>
    <col min="12812" max="12812" width="10.5703125" style="1" customWidth="1"/>
    <col min="12813" max="12813" width="1.140625" style="1" customWidth="1"/>
    <col min="12814" max="12814" width="11.28515625" style="1" customWidth="1"/>
    <col min="12815" max="12815" width="12.7109375" style="1" customWidth="1"/>
    <col min="12816" max="12816" width="11.5703125" style="1" customWidth="1"/>
    <col min="12817" max="12817" width="12.42578125" style="1" customWidth="1"/>
    <col min="12818" max="12818" width="1.5703125" style="1" customWidth="1"/>
    <col min="12819" max="12819" width="11.42578125" style="1" customWidth="1"/>
    <col min="12820" max="12820" width="12.140625" style="1" customWidth="1"/>
    <col min="12821" max="12821" width="1.7109375" style="1" customWidth="1"/>
    <col min="12822" max="12822" width="13.5703125" style="1" customWidth="1"/>
    <col min="12823" max="13059" width="9.140625" style="1"/>
    <col min="13060" max="13060" width="9.28515625" style="1" customWidth="1"/>
    <col min="13061" max="13061" width="1.7109375" style="1" customWidth="1"/>
    <col min="13062" max="13065" width="12" style="1" customWidth="1"/>
    <col min="13066" max="13066" width="11.85546875" style="1" customWidth="1"/>
    <col min="13067" max="13067" width="10.7109375" style="1" customWidth="1"/>
    <col min="13068" max="13068" width="10.5703125" style="1" customWidth="1"/>
    <col min="13069" max="13069" width="1.140625" style="1" customWidth="1"/>
    <col min="13070" max="13070" width="11.28515625" style="1" customWidth="1"/>
    <col min="13071" max="13071" width="12.7109375" style="1" customWidth="1"/>
    <col min="13072" max="13072" width="11.5703125" style="1" customWidth="1"/>
    <col min="13073" max="13073" width="12.42578125" style="1" customWidth="1"/>
    <col min="13074" max="13074" width="1.5703125" style="1" customWidth="1"/>
    <col min="13075" max="13075" width="11.42578125" style="1" customWidth="1"/>
    <col min="13076" max="13076" width="12.140625" style="1" customWidth="1"/>
    <col min="13077" max="13077" width="1.7109375" style="1" customWidth="1"/>
    <col min="13078" max="13078" width="13.5703125" style="1" customWidth="1"/>
    <col min="13079" max="13315" width="9.140625" style="1"/>
    <col min="13316" max="13316" width="9.28515625" style="1" customWidth="1"/>
    <col min="13317" max="13317" width="1.7109375" style="1" customWidth="1"/>
    <col min="13318" max="13321" width="12" style="1" customWidth="1"/>
    <col min="13322" max="13322" width="11.85546875" style="1" customWidth="1"/>
    <col min="13323" max="13323" width="10.7109375" style="1" customWidth="1"/>
    <col min="13324" max="13324" width="10.5703125" style="1" customWidth="1"/>
    <col min="13325" max="13325" width="1.140625" style="1" customWidth="1"/>
    <col min="13326" max="13326" width="11.28515625" style="1" customWidth="1"/>
    <col min="13327" max="13327" width="12.7109375" style="1" customWidth="1"/>
    <col min="13328" max="13328" width="11.5703125" style="1" customWidth="1"/>
    <col min="13329" max="13329" width="12.42578125" style="1" customWidth="1"/>
    <col min="13330" max="13330" width="1.5703125" style="1" customWidth="1"/>
    <col min="13331" max="13331" width="11.42578125" style="1" customWidth="1"/>
    <col min="13332" max="13332" width="12.140625" style="1" customWidth="1"/>
    <col min="13333" max="13333" width="1.7109375" style="1" customWidth="1"/>
    <col min="13334" max="13334" width="13.5703125" style="1" customWidth="1"/>
    <col min="13335" max="13571" width="9.140625" style="1"/>
    <col min="13572" max="13572" width="9.28515625" style="1" customWidth="1"/>
    <col min="13573" max="13573" width="1.7109375" style="1" customWidth="1"/>
    <col min="13574" max="13577" width="12" style="1" customWidth="1"/>
    <col min="13578" max="13578" width="11.85546875" style="1" customWidth="1"/>
    <col min="13579" max="13579" width="10.7109375" style="1" customWidth="1"/>
    <col min="13580" max="13580" width="10.5703125" style="1" customWidth="1"/>
    <col min="13581" max="13581" width="1.140625" style="1" customWidth="1"/>
    <col min="13582" max="13582" width="11.28515625" style="1" customWidth="1"/>
    <col min="13583" max="13583" width="12.7109375" style="1" customWidth="1"/>
    <col min="13584" max="13584" width="11.5703125" style="1" customWidth="1"/>
    <col min="13585" max="13585" width="12.42578125" style="1" customWidth="1"/>
    <col min="13586" max="13586" width="1.5703125" style="1" customWidth="1"/>
    <col min="13587" max="13587" width="11.42578125" style="1" customWidth="1"/>
    <col min="13588" max="13588" width="12.140625" style="1" customWidth="1"/>
    <col min="13589" max="13589" width="1.7109375" style="1" customWidth="1"/>
    <col min="13590" max="13590" width="13.5703125" style="1" customWidth="1"/>
    <col min="13591" max="13827" width="9.140625" style="1"/>
    <col min="13828" max="13828" width="9.28515625" style="1" customWidth="1"/>
    <col min="13829" max="13829" width="1.7109375" style="1" customWidth="1"/>
    <col min="13830" max="13833" width="12" style="1" customWidth="1"/>
    <col min="13834" max="13834" width="11.85546875" style="1" customWidth="1"/>
    <col min="13835" max="13835" width="10.7109375" style="1" customWidth="1"/>
    <col min="13836" max="13836" width="10.5703125" style="1" customWidth="1"/>
    <col min="13837" max="13837" width="1.140625" style="1" customWidth="1"/>
    <col min="13838" max="13838" width="11.28515625" style="1" customWidth="1"/>
    <col min="13839" max="13839" width="12.7109375" style="1" customWidth="1"/>
    <col min="13840" max="13840" width="11.5703125" style="1" customWidth="1"/>
    <col min="13841" max="13841" width="12.42578125" style="1" customWidth="1"/>
    <col min="13842" max="13842" width="1.5703125" style="1" customWidth="1"/>
    <col min="13843" max="13843" width="11.42578125" style="1" customWidth="1"/>
    <col min="13844" max="13844" width="12.140625" style="1" customWidth="1"/>
    <col min="13845" max="13845" width="1.7109375" style="1" customWidth="1"/>
    <col min="13846" max="13846" width="13.5703125" style="1" customWidth="1"/>
    <col min="13847" max="14083" width="9.140625" style="1"/>
    <col min="14084" max="14084" width="9.28515625" style="1" customWidth="1"/>
    <col min="14085" max="14085" width="1.7109375" style="1" customWidth="1"/>
    <col min="14086" max="14089" width="12" style="1" customWidth="1"/>
    <col min="14090" max="14090" width="11.85546875" style="1" customWidth="1"/>
    <col min="14091" max="14091" width="10.7109375" style="1" customWidth="1"/>
    <col min="14092" max="14092" width="10.5703125" style="1" customWidth="1"/>
    <col min="14093" max="14093" width="1.140625" style="1" customWidth="1"/>
    <col min="14094" max="14094" width="11.28515625" style="1" customWidth="1"/>
    <col min="14095" max="14095" width="12.7109375" style="1" customWidth="1"/>
    <col min="14096" max="14096" width="11.5703125" style="1" customWidth="1"/>
    <col min="14097" max="14097" width="12.42578125" style="1" customWidth="1"/>
    <col min="14098" max="14098" width="1.5703125" style="1" customWidth="1"/>
    <col min="14099" max="14099" width="11.42578125" style="1" customWidth="1"/>
    <col min="14100" max="14100" width="12.140625" style="1" customWidth="1"/>
    <col min="14101" max="14101" width="1.7109375" style="1" customWidth="1"/>
    <col min="14102" max="14102" width="13.5703125" style="1" customWidth="1"/>
    <col min="14103" max="14339" width="9.140625" style="1"/>
    <col min="14340" max="14340" width="9.28515625" style="1" customWidth="1"/>
    <col min="14341" max="14341" width="1.7109375" style="1" customWidth="1"/>
    <col min="14342" max="14345" width="12" style="1" customWidth="1"/>
    <col min="14346" max="14346" width="11.85546875" style="1" customWidth="1"/>
    <col min="14347" max="14347" width="10.7109375" style="1" customWidth="1"/>
    <col min="14348" max="14348" width="10.5703125" style="1" customWidth="1"/>
    <col min="14349" max="14349" width="1.140625" style="1" customWidth="1"/>
    <col min="14350" max="14350" width="11.28515625" style="1" customWidth="1"/>
    <col min="14351" max="14351" width="12.7109375" style="1" customWidth="1"/>
    <col min="14352" max="14352" width="11.5703125" style="1" customWidth="1"/>
    <col min="14353" max="14353" width="12.42578125" style="1" customWidth="1"/>
    <col min="14354" max="14354" width="1.5703125" style="1" customWidth="1"/>
    <col min="14355" max="14355" width="11.42578125" style="1" customWidth="1"/>
    <col min="14356" max="14356" width="12.140625" style="1" customWidth="1"/>
    <col min="14357" max="14357" width="1.7109375" style="1" customWidth="1"/>
    <col min="14358" max="14358" width="13.5703125" style="1" customWidth="1"/>
    <col min="14359" max="14595" width="9.140625" style="1"/>
    <col min="14596" max="14596" width="9.28515625" style="1" customWidth="1"/>
    <col min="14597" max="14597" width="1.7109375" style="1" customWidth="1"/>
    <col min="14598" max="14601" width="12" style="1" customWidth="1"/>
    <col min="14602" max="14602" width="11.85546875" style="1" customWidth="1"/>
    <col min="14603" max="14603" width="10.7109375" style="1" customWidth="1"/>
    <col min="14604" max="14604" width="10.5703125" style="1" customWidth="1"/>
    <col min="14605" max="14605" width="1.140625" style="1" customWidth="1"/>
    <col min="14606" max="14606" width="11.28515625" style="1" customWidth="1"/>
    <col min="14607" max="14607" width="12.7109375" style="1" customWidth="1"/>
    <col min="14608" max="14608" width="11.5703125" style="1" customWidth="1"/>
    <col min="14609" max="14609" width="12.42578125" style="1" customWidth="1"/>
    <col min="14610" max="14610" width="1.5703125" style="1" customWidth="1"/>
    <col min="14611" max="14611" width="11.42578125" style="1" customWidth="1"/>
    <col min="14612" max="14612" width="12.140625" style="1" customWidth="1"/>
    <col min="14613" max="14613" width="1.7109375" style="1" customWidth="1"/>
    <col min="14614" max="14614" width="13.5703125" style="1" customWidth="1"/>
    <col min="14615" max="14851" width="9.140625" style="1"/>
    <col min="14852" max="14852" width="9.28515625" style="1" customWidth="1"/>
    <col min="14853" max="14853" width="1.7109375" style="1" customWidth="1"/>
    <col min="14854" max="14857" width="12" style="1" customWidth="1"/>
    <col min="14858" max="14858" width="11.85546875" style="1" customWidth="1"/>
    <col min="14859" max="14859" width="10.7109375" style="1" customWidth="1"/>
    <col min="14860" max="14860" width="10.5703125" style="1" customWidth="1"/>
    <col min="14861" max="14861" width="1.140625" style="1" customWidth="1"/>
    <col min="14862" max="14862" width="11.28515625" style="1" customWidth="1"/>
    <col min="14863" max="14863" width="12.7109375" style="1" customWidth="1"/>
    <col min="14864" max="14864" width="11.5703125" style="1" customWidth="1"/>
    <col min="14865" max="14865" width="12.42578125" style="1" customWidth="1"/>
    <col min="14866" max="14866" width="1.5703125" style="1" customWidth="1"/>
    <col min="14867" max="14867" width="11.42578125" style="1" customWidth="1"/>
    <col min="14868" max="14868" width="12.140625" style="1" customWidth="1"/>
    <col min="14869" max="14869" width="1.7109375" style="1" customWidth="1"/>
    <col min="14870" max="14870" width="13.5703125" style="1" customWidth="1"/>
    <col min="14871" max="15107" width="9.140625" style="1"/>
    <col min="15108" max="15108" width="9.28515625" style="1" customWidth="1"/>
    <col min="15109" max="15109" width="1.7109375" style="1" customWidth="1"/>
    <col min="15110" max="15113" width="12" style="1" customWidth="1"/>
    <col min="15114" max="15114" width="11.85546875" style="1" customWidth="1"/>
    <col min="15115" max="15115" width="10.7109375" style="1" customWidth="1"/>
    <col min="15116" max="15116" width="10.5703125" style="1" customWidth="1"/>
    <col min="15117" max="15117" width="1.140625" style="1" customWidth="1"/>
    <col min="15118" max="15118" width="11.28515625" style="1" customWidth="1"/>
    <col min="15119" max="15119" width="12.7109375" style="1" customWidth="1"/>
    <col min="15120" max="15120" width="11.5703125" style="1" customWidth="1"/>
    <col min="15121" max="15121" width="12.42578125" style="1" customWidth="1"/>
    <col min="15122" max="15122" width="1.5703125" style="1" customWidth="1"/>
    <col min="15123" max="15123" width="11.42578125" style="1" customWidth="1"/>
    <col min="15124" max="15124" width="12.140625" style="1" customWidth="1"/>
    <col min="15125" max="15125" width="1.7109375" style="1" customWidth="1"/>
    <col min="15126" max="15126" width="13.5703125" style="1" customWidth="1"/>
    <col min="15127" max="15363" width="9.140625" style="1"/>
    <col min="15364" max="15364" width="9.28515625" style="1" customWidth="1"/>
    <col min="15365" max="15365" width="1.7109375" style="1" customWidth="1"/>
    <col min="15366" max="15369" width="12" style="1" customWidth="1"/>
    <col min="15370" max="15370" width="11.85546875" style="1" customWidth="1"/>
    <col min="15371" max="15371" width="10.7109375" style="1" customWidth="1"/>
    <col min="15372" max="15372" width="10.5703125" style="1" customWidth="1"/>
    <col min="15373" max="15373" width="1.140625" style="1" customWidth="1"/>
    <col min="15374" max="15374" width="11.28515625" style="1" customWidth="1"/>
    <col min="15375" max="15375" width="12.7109375" style="1" customWidth="1"/>
    <col min="15376" max="15376" width="11.5703125" style="1" customWidth="1"/>
    <col min="15377" max="15377" width="12.42578125" style="1" customWidth="1"/>
    <col min="15378" max="15378" width="1.5703125" style="1" customWidth="1"/>
    <col min="15379" max="15379" width="11.42578125" style="1" customWidth="1"/>
    <col min="15380" max="15380" width="12.140625" style="1" customWidth="1"/>
    <col min="15381" max="15381" width="1.7109375" style="1" customWidth="1"/>
    <col min="15382" max="15382" width="13.5703125" style="1" customWidth="1"/>
    <col min="15383" max="15619" width="9.140625" style="1"/>
    <col min="15620" max="15620" width="9.28515625" style="1" customWidth="1"/>
    <col min="15621" max="15621" width="1.7109375" style="1" customWidth="1"/>
    <col min="15622" max="15625" width="12" style="1" customWidth="1"/>
    <col min="15626" max="15626" width="11.85546875" style="1" customWidth="1"/>
    <col min="15627" max="15627" width="10.7109375" style="1" customWidth="1"/>
    <col min="15628" max="15628" width="10.5703125" style="1" customWidth="1"/>
    <col min="15629" max="15629" width="1.140625" style="1" customWidth="1"/>
    <col min="15630" max="15630" width="11.28515625" style="1" customWidth="1"/>
    <col min="15631" max="15631" width="12.7109375" style="1" customWidth="1"/>
    <col min="15632" max="15632" width="11.5703125" style="1" customWidth="1"/>
    <col min="15633" max="15633" width="12.42578125" style="1" customWidth="1"/>
    <col min="15634" max="15634" width="1.5703125" style="1" customWidth="1"/>
    <col min="15635" max="15635" width="11.42578125" style="1" customWidth="1"/>
    <col min="15636" max="15636" width="12.140625" style="1" customWidth="1"/>
    <col min="15637" max="15637" width="1.7109375" style="1" customWidth="1"/>
    <col min="15638" max="15638" width="13.5703125" style="1" customWidth="1"/>
    <col min="15639" max="15875" width="9.140625" style="1"/>
    <col min="15876" max="15876" width="9.28515625" style="1" customWidth="1"/>
    <col min="15877" max="15877" width="1.7109375" style="1" customWidth="1"/>
    <col min="15878" max="15881" width="12" style="1" customWidth="1"/>
    <col min="15882" max="15882" width="11.85546875" style="1" customWidth="1"/>
    <col min="15883" max="15883" width="10.7109375" style="1" customWidth="1"/>
    <col min="15884" max="15884" width="10.5703125" style="1" customWidth="1"/>
    <col min="15885" max="15885" width="1.140625" style="1" customWidth="1"/>
    <col min="15886" max="15886" width="11.28515625" style="1" customWidth="1"/>
    <col min="15887" max="15887" width="12.7109375" style="1" customWidth="1"/>
    <col min="15888" max="15888" width="11.5703125" style="1" customWidth="1"/>
    <col min="15889" max="15889" width="12.42578125" style="1" customWidth="1"/>
    <col min="15890" max="15890" width="1.5703125" style="1" customWidth="1"/>
    <col min="15891" max="15891" width="11.42578125" style="1" customWidth="1"/>
    <col min="15892" max="15892" width="12.140625" style="1" customWidth="1"/>
    <col min="15893" max="15893" width="1.7109375" style="1" customWidth="1"/>
    <col min="15894" max="15894" width="13.5703125" style="1" customWidth="1"/>
    <col min="15895" max="16131" width="9.140625" style="1"/>
    <col min="16132" max="16132" width="9.28515625" style="1" customWidth="1"/>
    <col min="16133" max="16133" width="1.7109375" style="1" customWidth="1"/>
    <col min="16134" max="16137" width="12" style="1" customWidth="1"/>
    <col min="16138" max="16138" width="11.85546875" style="1" customWidth="1"/>
    <col min="16139" max="16139" width="10.7109375" style="1" customWidth="1"/>
    <col min="16140" max="16140" width="10.5703125" style="1" customWidth="1"/>
    <col min="16141" max="16141" width="1.140625" style="1" customWidth="1"/>
    <col min="16142" max="16142" width="11.28515625" style="1" customWidth="1"/>
    <col min="16143" max="16143" width="12.7109375" style="1" customWidth="1"/>
    <col min="16144" max="16144" width="11.5703125" style="1" customWidth="1"/>
    <col min="16145" max="16145" width="12.42578125" style="1" customWidth="1"/>
    <col min="16146" max="16146" width="1.5703125" style="1" customWidth="1"/>
    <col min="16147" max="16147" width="11.42578125" style="1" customWidth="1"/>
    <col min="16148" max="16148" width="12.140625" style="1" customWidth="1"/>
    <col min="16149" max="16149" width="1.7109375" style="1" customWidth="1"/>
    <col min="16150" max="16150" width="13.5703125" style="1" customWidth="1"/>
    <col min="16151" max="16384" width="9.140625" style="1"/>
  </cols>
  <sheetData>
    <row r="1" spans="1:22" ht="18" x14ac:dyDescent="0.25">
      <c r="A1" s="86" t="s">
        <v>0</v>
      </c>
      <c r="B1" s="86"/>
      <c r="C1" s="86"/>
      <c r="D1" s="86"/>
      <c r="E1" s="86"/>
      <c r="F1" s="86"/>
      <c r="G1" s="86"/>
      <c r="H1" s="86"/>
      <c r="I1" s="86"/>
      <c r="J1" s="86"/>
      <c r="K1" s="86"/>
      <c r="L1" s="86"/>
      <c r="M1" s="86"/>
      <c r="N1" s="86"/>
      <c r="O1" s="86"/>
      <c r="P1" s="86"/>
      <c r="Q1" s="86"/>
      <c r="R1" s="86"/>
      <c r="S1" s="86"/>
      <c r="T1" s="86"/>
      <c r="U1" s="86"/>
      <c r="V1" s="86"/>
    </row>
    <row r="2" spans="1:22" ht="15.75" x14ac:dyDescent="0.25">
      <c r="A2" s="87" t="s">
        <v>1</v>
      </c>
      <c r="B2" s="87"/>
      <c r="C2" s="87"/>
      <c r="D2" s="87"/>
      <c r="E2" s="87"/>
      <c r="F2" s="87"/>
      <c r="G2" s="87"/>
      <c r="H2" s="87"/>
      <c r="I2" s="87"/>
      <c r="J2" s="87"/>
      <c r="K2" s="87"/>
      <c r="L2" s="87"/>
      <c r="M2" s="87"/>
      <c r="N2" s="87"/>
      <c r="O2" s="87"/>
      <c r="P2" s="87"/>
      <c r="Q2" s="87"/>
      <c r="R2" s="87"/>
      <c r="S2" s="87"/>
      <c r="T2" s="87"/>
      <c r="U2" s="87"/>
      <c r="V2" s="87"/>
    </row>
    <row r="3" spans="1:22" s="2" customFormat="1" ht="15.75" x14ac:dyDescent="0.25">
      <c r="A3" s="87" t="s">
        <v>2</v>
      </c>
      <c r="B3" s="87"/>
      <c r="C3" s="87"/>
      <c r="D3" s="87"/>
      <c r="E3" s="87"/>
      <c r="F3" s="87"/>
      <c r="G3" s="87"/>
      <c r="H3" s="87"/>
      <c r="I3" s="87"/>
      <c r="J3" s="87"/>
      <c r="K3" s="87"/>
      <c r="L3" s="87"/>
      <c r="M3" s="87"/>
      <c r="N3" s="87"/>
      <c r="O3" s="87"/>
      <c r="P3" s="87"/>
      <c r="Q3" s="87"/>
      <c r="R3" s="87"/>
      <c r="S3" s="87"/>
      <c r="T3" s="87"/>
      <c r="U3" s="87"/>
      <c r="V3" s="87"/>
    </row>
    <row r="4" spans="1:22" s="2" customFormat="1" ht="14.25" customHeight="1" x14ac:dyDescent="0.25">
      <c r="A4" s="88" t="s">
        <v>3</v>
      </c>
      <c r="B4" s="88"/>
      <c r="C4" s="88"/>
      <c r="D4" s="88"/>
      <c r="E4" s="88"/>
      <c r="F4" s="88"/>
      <c r="G4" s="88"/>
      <c r="H4" s="88"/>
      <c r="I4" s="88"/>
      <c r="J4" s="88"/>
      <c r="K4" s="88"/>
      <c r="L4" s="88"/>
      <c r="M4" s="88"/>
      <c r="N4" s="88"/>
      <c r="O4" s="88"/>
      <c r="P4" s="88"/>
      <c r="Q4" s="88"/>
      <c r="R4" s="88"/>
      <c r="S4" s="88"/>
      <c r="T4" s="88"/>
      <c r="U4" s="88"/>
      <c r="V4" s="88"/>
    </row>
    <row r="5" spans="1:22" s="2" customFormat="1" x14ac:dyDescent="0.25">
      <c r="A5" s="89" t="s">
        <v>4</v>
      </c>
      <c r="B5" s="89"/>
      <c r="C5" s="89"/>
      <c r="D5" s="89"/>
      <c r="E5" s="89"/>
      <c r="F5" s="89"/>
      <c r="G5" s="89"/>
      <c r="H5" s="89"/>
      <c r="I5" s="89"/>
      <c r="J5" s="89"/>
      <c r="K5" s="89"/>
      <c r="L5" s="89"/>
      <c r="M5" s="89"/>
      <c r="N5" s="89"/>
      <c r="O5" s="89"/>
      <c r="P5" s="89"/>
      <c r="Q5" s="89"/>
      <c r="R5" s="89"/>
      <c r="S5" s="89"/>
      <c r="T5" s="89"/>
      <c r="U5" s="89"/>
      <c r="V5" s="89"/>
    </row>
    <row r="6" spans="1:22" s="2" customFormat="1" x14ac:dyDescent="0.25">
      <c r="A6" s="70"/>
      <c r="B6" s="70"/>
      <c r="C6" s="70"/>
      <c r="D6" s="70"/>
      <c r="E6" s="70"/>
      <c r="F6" s="70"/>
      <c r="G6" s="70"/>
      <c r="H6" s="70"/>
      <c r="I6" s="70"/>
      <c r="J6" s="70"/>
      <c r="K6" s="70"/>
      <c r="L6" s="70"/>
      <c r="M6" s="70"/>
      <c r="N6" s="70"/>
      <c r="O6" s="70"/>
      <c r="P6" s="70"/>
      <c r="Q6" s="70"/>
      <c r="R6" s="70"/>
      <c r="S6" s="70"/>
      <c r="T6" s="70"/>
    </row>
    <row r="7" spans="1:22" s="2" customFormat="1" x14ac:dyDescent="0.25">
      <c r="A7" s="4"/>
      <c r="B7" s="4"/>
      <c r="C7" s="5"/>
      <c r="D7" s="5"/>
      <c r="E7" s="5"/>
      <c r="F7" s="5"/>
      <c r="G7" s="5"/>
      <c r="H7" s="6"/>
      <c r="I7" s="7"/>
      <c r="J7" s="6"/>
      <c r="K7" s="6"/>
      <c r="L7" s="6"/>
      <c r="M7" s="6"/>
      <c r="N7" s="6"/>
      <c r="O7" s="6"/>
      <c r="P7" s="6"/>
      <c r="Q7" s="6"/>
      <c r="R7" s="6"/>
      <c r="S7" s="6"/>
      <c r="T7" s="6"/>
    </row>
    <row r="8" spans="1:22" s="8" customFormat="1" ht="14.25" customHeight="1" x14ac:dyDescent="0.25">
      <c r="A8" s="83" t="s">
        <v>75</v>
      </c>
      <c r="B8" s="84"/>
      <c r="C8" s="84"/>
      <c r="D8" s="84"/>
      <c r="E8" s="84"/>
      <c r="F8" s="84"/>
      <c r="G8" s="84"/>
      <c r="H8" s="84"/>
      <c r="I8" s="84"/>
      <c r="J8" s="84"/>
      <c r="K8" s="84"/>
      <c r="L8" s="84"/>
      <c r="M8" s="84"/>
      <c r="N8" s="84"/>
      <c r="O8" s="84"/>
      <c r="P8" s="84"/>
      <c r="Q8" s="84"/>
      <c r="R8" s="84"/>
      <c r="S8" s="84"/>
      <c r="T8" s="84"/>
      <c r="U8" s="84"/>
      <c r="V8" s="85"/>
    </row>
    <row r="9" spans="1:22" s="2" customFormat="1" ht="9" customHeight="1" x14ac:dyDescent="0.25">
      <c r="A9" s="4"/>
      <c r="B9" s="4"/>
      <c r="C9" s="5"/>
      <c r="D9" s="5"/>
      <c r="E9" s="5"/>
      <c r="F9" s="5"/>
      <c r="G9" s="5"/>
      <c r="H9" s="6"/>
      <c r="I9" s="7"/>
      <c r="J9" s="6"/>
      <c r="K9" s="6"/>
      <c r="L9" s="6"/>
      <c r="M9" s="6"/>
      <c r="N9" s="6"/>
      <c r="O9" s="6"/>
      <c r="P9" s="6"/>
      <c r="Q9" s="6"/>
      <c r="R9" s="6"/>
      <c r="S9" s="6"/>
      <c r="T9" s="6"/>
    </row>
    <row r="10" spans="1:22" s="13" customFormat="1" ht="12.75" x14ac:dyDescent="0.2">
      <c r="A10" s="9"/>
      <c r="B10" s="9"/>
      <c r="C10" s="91" t="s">
        <v>6</v>
      </c>
      <c r="D10" s="92"/>
      <c r="E10" s="92"/>
      <c r="F10" s="92"/>
      <c r="G10" s="92"/>
      <c r="H10" s="92"/>
      <c r="I10" s="92"/>
      <c r="J10" s="10"/>
      <c r="K10" s="11"/>
      <c r="L10" s="91" t="s">
        <v>7</v>
      </c>
      <c r="M10" s="92"/>
      <c r="N10" s="92"/>
      <c r="O10" s="93"/>
      <c r="P10" s="12"/>
      <c r="Q10" s="91" t="s">
        <v>8</v>
      </c>
      <c r="R10" s="93"/>
      <c r="S10" s="67"/>
      <c r="T10" s="68" t="s">
        <v>70</v>
      </c>
    </row>
    <row r="11" spans="1:22" s="18" customFormat="1" ht="12" x14ac:dyDescent="0.2">
      <c r="A11" s="14"/>
      <c r="B11" s="14"/>
      <c r="C11" s="15"/>
      <c r="D11" s="16" t="s">
        <v>9</v>
      </c>
      <c r="E11" s="15"/>
      <c r="F11" s="16" t="s">
        <v>10</v>
      </c>
      <c r="G11" s="15"/>
      <c r="H11" s="17" t="s">
        <v>11</v>
      </c>
      <c r="I11" s="15"/>
      <c r="J11" s="15"/>
      <c r="K11" s="15"/>
      <c r="L11" s="16" t="s">
        <v>10</v>
      </c>
      <c r="M11" s="16"/>
      <c r="N11" s="16" t="s">
        <v>9</v>
      </c>
      <c r="O11" s="16" t="s">
        <v>10</v>
      </c>
      <c r="Q11" s="16" t="s">
        <v>10</v>
      </c>
      <c r="R11" s="16" t="s">
        <v>10</v>
      </c>
      <c r="S11" s="16"/>
      <c r="T11" s="16"/>
      <c r="V11" s="16" t="s">
        <v>10</v>
      </c>
    </row>
    <row r="12" spans="1:22" s="21" customFormat="1" ht="12" x14ac:dyDescent="0.2">
      <c r="A12" s="19"/>
      <c r="B12" s="19"/>
      <c r="C12" s="16" t="s">
        <v>12</v>
      </c>
      <c r="D12" s="20" t="s">
        <v>13</v>
      </c>
      <c r="E12" s="16" t="s">
        <v>12</v>
      </c>
      <c r="F12" s="16" t="s">
        <v>14</v>
      </c>
      <c r="G12" s="16"/>
      <c r="H12" s="17" t="s">
        <v>15</v>
      </c>
      <c r="I12" s="16" t="s">
        <v>16</v>
      </c>
      <c r="J12" s="16"/>
      <c r="K12" s="16"/>
      <c r="L12" s="21" t="s">
        <v>11</v>
      </c>
      <c r="M12" s="16" t="s">
        <v>17</v>
      </c>
      <c r="N12" s="16" t="s">
        <v>17</v>
      </c>
      <c r="O12" s="16" t="s">
        <v>17</v>
      </c>
      <c r="Q12" s="21" t="s">
        <v>11</v>
      </c>
      <c r="R12" s="16" t="s">
        <v>18</v>
      </c>
      <c r="S12" s="16"/>
      <c r="T12" s="16" t="s">
        <v>71</v>
      </c>
      <c r="V12" s="16" t="s">
        <v>10</v>
      </c>
    </row>
    <row r="13" spans="1:22" s="21" customFormat="1" ht="12" x14ac:dyDescent="0.2">
      <c r="A13" s="22" t="s">
        <v>19</v>
      </c>
      <c r="B13" s="22"/>
      <c r="C13" s="23" t="s">
        <v>20</v>
      </c>
      <c r="D13" s="23" t="s">
        <v>12</v>
      </c>
      <c r="E13" s="23" t="s">
        <v>21</v>
      </c>
      <c r="F13" s="23" t="s">
        <v>22</v>
      </c>
      <c r="G13" s="23"/>
      <c r="H13" s="24" t="s">
        <v>23</v>
      </c>
      <c r="I13" s="23" t="s">
        <v>24</v>
      </c>
      <c r="J13" s="20"/>
      <c r="K13" s="20"/>
      <c r="L13" s="23" t="s">
        <v>25</v>
      </c>
      <c r="M13" s="23" t="s">
        <v>26</v>
      </c>
      <c r="N13" s="23" t="s">
        <v>12</v>
      </c>
      <c r="O13" s="23" t="s">
        <v>22</v>
      </c>
      <c r="P13" s="25"/>
      <c r="Q13" s="23" t="s">
        <v>8</v>
      </c>
      <c r="R13" s="23" t="s">
        <v>22</v>
      </c>
      <c r="S13" s="20"/>
      <c r="T13" s="23" t="s">
        <v>22</v>
      </c>
      <c r="V13" s="23" t="s">
        <v>27</v>
      </c>
    </row>
    <row r="14" spans="1:22" x14ac:dyDescent="0.25">
      <c r="A14" s="4">
        <v>43922</v>
      </c>
      <c r="C14" s="26"/>
      <c r="D14" s="26"/>
      <c r="E14" s="26"/>
      <c r="F14" s="26"/>
      <c r="G14" s="26"/>
      <c r="H14" s="27"/>
      <c r="I14" s="26"/>
      <c r="J14" s="26"/>
      <c r="L14" s="27"/>
      <c r="M14" s="26"/>
      <c r="N14" s="26"/>
      <c r="O14" s="26"/>
      <c r="Q14" s="27"/>
      <c r="R14" s="26"/>
      <c r="S14" s="26"/>
      <c r="T14" s="26"/>
      <c r="V14" s="26">
        <f t="shared" ref="V14:V16" si="0">F14+O14+R14</f>
        <v>0</v>
      </c>
    </row>
    <row r="15" spans="1:22" x14ac:dyDescent="0.25">
      <c r="A15" s="4">
        <v>43952</v>
      </c>
      <c r="C15" s="26"/>
      <c r="D15" s="26"/>
      <c r="E15" s="26"/>
      <c r="F15" s="26"/>
      <c r="G15" s="29"/>
      <c r="H15" s="27"/>
      <c r="I15" s="26"/>
      <c r="J15" s="26"/>
      <c r="K15" s="29"/>
      <c r="L15" s="27"/>
      <c r="M15" s="26"/>
      <c r="N15" s="26"/>
      <c r="O15" s="26"/>
      <c r="P15" s="29"/>
      <c r="Q15" s="27"/>
      <c r="R15" s="26"/>
      <c r="S15" s="26"/>
      <c r="T15" s="26"/>
      <c r="V15" s="26">
        <f t="shared" si="0"/>
        <v>0</v>
      </c>
    </row>
    <row r="16" spans="1:22" x14ac:dyDescent="0.25">
      <c r="A16" s="4">
        <v>43983</v>
      </c>
      <c r="C16" s="26"/>
      <c r="D16" s="26"/>
      <c r="E16" s="26"/>
      <c r="F16" s="26"/>
      <c r="G16" s="29"/>
      <c r="H16" s="27"/>
      <c r="I16" s="26"/>
      <c r="J16" s="26"/>
      <c r="K16" s="29"/>
      <c r="L16" s="27"/>
      <c r="M16" s="26"/>
      <c r="N16" s="26"/>
      <c r="O16" s="26"/>
      <c r="P16" s="29"/>
      <c r="Q16" s="27"/>
      <c r="R16" s="26"/>
      <c r="S16" s="26"/>
      <c r="T16" s="26"/>
      <c r="V16" s="26">
        <f t="shared" si="0"/>
        <v>0</v>
      </c>
    </row>
    <row r="17" spans="1:22" x14ac:dyDescent="0.25">
      <c r="A17" s="4">
        <v>44013</v>
      </c>
      <c r="C17" s="26"/>
      <c r="D17" s="26"/>
      <c r="E17" s="26"/>
      <c r="F17" s="26"/>
      <c r="G17" s="30"/>
      <c r="H17" s="27"/>
      <c r="I17" s="26"/>
      <c r="J17" s="26"/>
      <c r="K17" s="30"/>
      <c r="L17" s="27"/>
      <c r="M17" s="26"/>
      <c r="N17" s="26"/>
      <c r="O17" s="26"/>
      <c r="P17" s="30"/>
      <c r="Q17" s="27"/>
      <c r="R17" s="26"/>
      <c r="S17" s="26"/>
      <c r="T17" s="26"/>
      <c r="U17" s="30"/>
      <c r="V17" s="26">
        <f>F17+O17+R17+T17</f>
        <v>0</v>
      </c>
    </row>
    <row r="18" spans="1:22" x14ac:dyDescent="0.25">
      <c r="A18" s="4">
        <v>44044</v>
      </c>
      <c r="C18" s="26"/>
      <c r="D18" s="26"/>
      <c r="E18" s="26"/>
      <c r="F18" s="26"/>
      <c r="G18" s="30"/>
      <c r="H18" s="27"/>
      <c r="I18" s="26"/>
      <c r="J18" s="26"/>
      <c r="K18" s="30"/>
      <c r="L18" s="27"/>
      <c r="M18" s="26"/>
      <c r="N18" s="26"/>
      <c r="O18" s="26"/>
      <c r="P18" s="30"/>
      <c r="Q18" s="27"/>
      <c r="R18" s="26"/>
      <c r="S18" s="26"/>
      <c r="T18" s="26"/>
      <c r="U18" s="30"/>
      <c r="V18" s="26">
        <f t="shared" ref="V18:V25" si="1">F18+O18+R18+T18</f>
        <v>0</v>
      </c>
    </row>
    <row r="19" spans="1:22" x14ac:dyDescent="0.25">
      <c r="A19" s="4">
        <v>44075</v>
      </c>
      <c r="C19" s="26">
        <v>43907588.170000002</v>
      </c>
      <c r="D19" s="26">
        <v>345620.79</v>
      </c>
      <c r="E19" s="26">
        <v>40379512.979999997</v>
      </c>
      <c r="F19" s="26">
        <v>3182454.4</v>
      </c>
      <c r="G19" s="30"/>
      <c r="H19" s="27">
        <v>378</v>
      </c>
      <c r="I19" s="26">
        <f>F19/H19/22</f>
        <v>382.69052429052425</v>
      </c>
      <c r="J19" s="26"/>
      <c r="K19" s="30"/>
      <c r="L19" s="27">
        <v>0</v>
      </c>
      <c r="M19" s="26">
        <v>0</v>
      </c>
      <c r="N19" s="26">
        <v>0</v>
      </c>
      <c r="O19" s="26">
        <v>0</v>
      </c>
      <c r="P19" s="30"/>
      <c r="Q19" s="27">
        <v>0</v>
      </c>
      <c r="R19" s="26">
        <v>0</v>
      </c>
      <c r="S19" s="26"/>
      <c r="T19" s="26">
        <v>96164.25</v>
      </c>
      <c r="U19" s="30"/>
      <c r="V19" s="26">
        <f>F19+O19+R19+T19</f>
        <v>3278618.65</v>
      </c>
    </row>
    <row r="20" spans="1:22" x14ac:dyDescent="0.25">
      <c r="A20" s="4">
        <v>44105</v>
      </c>
      <c r="C20" s="26">
        <v>62476402.579999998</v>
      </c>
      <c r="D20" s="26">
        <v>589491.06000000006</v>
      </c>
      <c r="E20" s="26">
        <v>57353757.869999997</v>
      </c>
      <c r="F20" s="26">
        <v>4533153.6500000004</v>
      </c>
      <c r="G20" s="30"/>
      <c r="H20" s="27">
        <v>453.48</v>
      </c>
      <c r="I20" s="26">
        <f>F20/H20/31</f>
        <v>322.46353290823367</v>
      </c>
      <c r="J20" s="26"/>
      <c r="K20" s="30"/>
      <c r="L20" s="27">
        <v>10.5</v>
      </c>
      <c r="M20" s="26">
        <v>1472515</v>
      </c>
      <c r="N20" s="26">
        <v>34505</v>
      </c>
      <c r="O20" s="26">
        <v>147291.5</v>
      </c>
      <c r="P20" s="30"/>
      <c r="Q20" s="27">
        <v>0</v>
      </c>
      <c r="R20" s="26">
        <v>0</v>
      </c>
      <c r="S20" s="26"/>
      <c r="T20" s="26">
        <v>307457.75</v>
      </c>
      <c r="U20" s="30"/>
      <c r="V20" s="26">
        <f t="shared" si="1"/>
        <v>4987902.9000000004</v>
      </c>
    </row>
    <row r="21" spans="1:22" x14ac:dyDescent="0.25">
      <c r="A21" s="4">
        <v>44136</v>
      </c>
      <c r="C21" s="26">
        <v>58606408</v>
      </c>
      <c r="D21" s="26">
        <v>710931.71</v>
      </c>
      <c r="E21" s="26">
        <v>53664362.659999996</v>
      </c>
      <c r="F21" s="26">
        <v>4231113.63</v>
      </c>
      <c r="G21" s="30"/>
      <c r="H21" s="27">
        <v>498.6</v>
      </c>
      <c r="I21" s="26">
        <f>F21/H21/30</f>
        <v>282.8662675491376</v>
      </c>
      <c r="J21" s="26"/>
      <c r="K21" s="30"/>
      <c r="L21" s="27">
        <v>18</v>
      </c>
      <c r="M21" s="26">
        <v>2181560</v>
      </c>
      <c r="N21" s="26">
        <v>52545</v>
      </c>
      <c r="O21" s="26">
        <v>369946.04</v>
      </c>
      <c r="P21" s="30"/>
      <c r="Q21" s="27">
        <v>0</v>
      </c>
      <c r="R21" s="26">
        <v>0</v>
      </c>
      <c r="S21" s="26"/>
      <c r="T21" s="26">
        <v>347089.05</v>
      </c>
      <c r="U21" s="30"/>
      <c r="V21" s="26">
        <f t="shared" si="1"/>
        <v>4948148.72</v>
      </c>
    </row>
    <row r="22" spans="1:22" x14ac:dyDescent="0.25">
      <c r="A22" s="4">
        <v>44166</v>
      </c>
      <c r="C22" s="26">
        <v>55036333.810000002</v>
      </c>
      <c r="D22" s="26">
        <v>699808.95</v>
      </c>
      <c r="E22" s="26">
        <v>50507094.600000001</v>
      </c>
      <c r="F22" s="26">
        <v>3829430.26</v>
      </c>
      <c r="G22" s="30"/>
      <c r="H22" s="27">
        <v>503</v>
      </c>
      <c r="I22" s="26">
        <f>F22/H22/29</f>
        <v>262.52349763488036</v>
      </c>
      <c r="J22" s="26"/>
      <c r="K22" s="30"/>
      <c r="L22" s="27">
        <v>19</v>
      </c>
      <c r="M22" s="26">
        <v>2501675</v>
      </c>
      <c r="N22" s="26">
        <v>61265</v>
      </c>
      <c r="O22" s="26">
        <v>416728.57</v>
      </c>
      <c r="P22" s="30"/>
      <c r="Q22" s="27">
        <v>0</v>
      </c>
      <c r="R22" s="26">
        <v>0</v>
      </c>
      <c r="S22" s="26"/>
      <c r="T22" s="26">
        <v>277301.25</v>
      </c>
      <c r="U22" s="30"/>
      <c r="V22" s="26">
        <f t="shared" si="1"/>
        <v>4523460.08</v>
      </c>
    </row>
    <row r="23" spans="1:22" x14ac:dyDescent="0.25">
      <c r="A23" s="4">
        <v>44197</v>
      </c>
      <c r="C23" s="26">
        <v>72557851.120000005</v>
      </c>
      <c r="D23" s="26">
        <v>839878.62</v>
      </c>
      <c r="E23" s="26">
        <v>66410875.119999997</v>
      </c>
      <c r="F23" s="26">
        <v>5307097.38</v>
      </c>
      <c r="G23" s="30"/>
      <c r="H23" s="27">
        <v>506.22</v>
      </c>
      <c r="I23" s="26">
        <f>F23/H23/31</f>
        <v>338.18634126944681</v>
      </c>
      <c r="J23" s="26"/>
      <c r="K23" s="30"/>
      <c r="L23" s="27">
        <v>19.8</v>
      </c>
      <c r="M23" s="26">
        <v>3181342</v>
      </c>
      <c r="N23" s="26">
        <v>86600</v>
      </c>
      <c r="O23" s="26">
        <v>479946.63</v>
      </c>
      <c r="P23" s="30"/>
      <c r="Q23" s="27">
        <v>0</v>
      </c>
      <c r="R23" s="26">
        <v>0</v>
      </c>
      <c r="S23" s="26"/>
      <c r="T23" s="26">
        <v>390346.2</v>
      </c>
      <c r="U23" s="30"/>
      <c r="V23" s="26">
        <f t="shared" si="1"/>
        <v>6177390.21</v>
      </c>
    </row>
    <row r="24" spans="1:22" x14ac:dyDescent="0.25">
      <c r="A24" s="4">
        <v>44228</v>
      </c>
      <c r="C24" s="26">
        <v>67205247.629999995</v>
      </c>
      <c r="D24" s="26">
        <v>759364.23</v>
      </c>
      <c r="E24" s="26">
        <v>61335211.850000001</v>
      </c>
      <c r="F24" s="26">
        <v>5110671.55</v>
      </c>
      <c r="G24" s="30"/>
      <c r="H24" s="27">
        <v>508</v>
      </c>
      <c r="I24" s="26">
        <f>F24/H24/28</f>
        <v>359.29918096175476</v>
      </c>
      <c r="J24" s="26"/>
      <c r="K24" s="30"/>
      <c r="L24" s="27">
        <v>20.170000000000002</v>
      </c>
      <c r="M24" s="26">
        <v>2873030</v>
      </c>
      <c r="N24" s="26">
        <v>101225</v>
      </c>
      <c r="O24" s="26">
        <v>559069</v>
      </c>
      <c r="P24" s="30"/>
      <c r="Q24" s="27">
        <v>0</v>
      </c>
      <c r="R24" s="26">
        <v>0</v>
      </c>
      <c r="S24" s="26"/>
      <c r="T24" s="26">
        <v>156396.5</v>
      </c>
      <c r="U24" s="30"/>
      <c r="V24" s="26">
        <f t="shared" si="1"/>
        <v>5826137.0499999998</v>
      </c>
    </row>
    <row r="25" spans="1:22" x14ac:dyDescent="0.25">
      <c r="A25" s="4">
        <v>44256</v>
      </c>
      <c r="C25" s="26">
        <v>91959692.459999993</v>
      </c>
      <c r="D25" s="26">
        <v>942481.57</v>
      </c>
      <c r="E25" s="26">
        <v>84024534.530000001</v>
      </c>
      <c r="F25" s="26">
        <v>6992676.3600000003</v>
      </c>
      <c r="G25" s="30"/>
      <c r="H25" s="27">
        <v>520.41</v>
      </c>
      <c r="I25" s="26">
        <f>F25/H25/31</f>
        <v>433.44709971232368</v>
      </c>
      <c r="J25" s="26"/>
      <c r="K25" s="30"/>
      <c r="L25" s="27">
        <v>21</v>
      </c>
      <c r="M25" s="26">
        <v>3595854</v>
      </c>
      <c r="N25" s="26">
        <v>119500</v>
      </c>
      <c r="O25" s="26">
        <v>468914.27</v>
      </c>
      <c r="P25" s="30"/>
      <c r="Q25" s="27">
        <v>0</v>
      </c>
      <c r="R25" s="26">
        <v>0</v>
      </c>
      <c r="S25" s="26"/>
      <c r="T25" s="26">
        <v>122876.65</v>
      </c>
      <c r="U25" s="30"/>
      <c r="V25" s="26">
        <f t="shared" si="1"/>
        <v>7584467.2800000012</v>
      </c>
    </row>
    <row r="26" spans="1:22" ht="15.75" thickBot="1" x14ac:dyDescent="0.3">
      <c r="A26" s="4" t="s">
        <v>28</v>
      </c>
      <c r="C26" s="31">
        <f>SUM(C14:C25)</f>
        <v>451749523.76999998</v>
      </c>
      <c r="D26" s="31">
        <f t="shared" ref="D26:F26" si="2">SUM(D14:D25)</f>
        <v>4887576.93</v>
      </c>
      <c r="E26" s="31">
        <f t="shared" si="2"/>
        <v>413675349.61000001</v>
      </c>
      <c r="F26" s="31">
        <f t="shared" si="2"/>
        <v>33186597.23</v>
      </c>
      <c r="G26" s="31"/>
      <c r="H26" s="35">
        <v>485.02</v>
      </c>
      <c r="I26" s="31">
        <f>F26/H26/202</f>
        <v>338.72847572683537</v>
      </c>
      <c r="J26" s="33"/>
      <c r="K26" s="34"/>
      <c r="L26" s="35">
        <v>18.25</v>
      </c>
      <c r="M26" s="31">
        <f>SUM(M14:M25)</f>
        <v>15805976</v>
      </c>
      <c r="N26" s="31">
        <f>SUM(N14:N25)</f>
        <v>455640</v>
      </c>
      <c r="O26" s="31">
        <f>SUM(O14:O25)</f>
        <v>2441896.0099999998</v>
      </c>
      <c r="P26" s="33"/>
      <c r="Q26" s="32">
        <v>0</v>
      </c>
      <c r="R26" s="31">
        <f>SUM(R14:R25)</f>
        <v>0</v>
      </c>
      <c r="S26" s="33"/>
      <c r="T26" s="31">
        <f>SUM(T14:T25)</f>
        <v>1697631.65</v>
      </c>
      <c r="U26" s="33"/>
      <c r="V26" s="31">
        <f>SUM(V14:V25)</f>
        <v>37326124.890000001</v>
      </c>
    </row>
    <row r="27" spans="1:22" ht="10.5" customHeight="1" thickTop="1" x14ac:dyDescent="0.25">
      <c r="C27" s="36"/>
      <c r="D27" s="36"/>
      <c r="E27" s="36"/>
      <c r="F27" s="36"/>
      <c r="G27" s="36"/>
      <c r="H27" s="36"/>
      <c r="L27" s="38"/>
      <c r="M27" s="36"/>
      <c r="N27" s="36"/>
      <c r="O27" s="36"/>
      <c r="P27" s="36"/>
      <c r="Q27" s="38"/>
      <c r="R27" s="36"/>
      <c r="S27" s="36"/>
      <c r="T27" s="36"/>
    </row>
    <row r="28" spans="1:22" s="42" customFormat="1" x14ac:dyDescent="0.25">
      <c r="A28" s="39"/>
      <c r="B28" s="39"/>
      <c r="C28" s="40"/>
      <c r="D28" s="41">
        <f>D26/$C$26</f>
        <v>1.0819218776837981E-2</v>
      </c>
      <c r="E28" s="41">
        <f>E26/$C$26</f>
        <v>0.915718396685273</v>
      </c>
      <c r="F28" s="41">
        <f>F26/$C$26</f>
        <v>7.3462384537889072E-2</v>
      </c>
      <c r="G28" s="41"/>
      <c r="H28" s="40"/>
      <c r="L28" s="40"/>
      <c r="M28" s="40"/>
      <c r="N28" s="40"/>
      <c r="O28" s="40"/>
      <c r="P28" s="40"/>
      <c r="Q28" s="40"/>
      <c r="R28" s="40"/>
      <c r="S28" s="40"/>
      <c r="T28" s="40"/>
    </row>
    <row r="29" spans="1:22" s="42" customFormat="1" x14ac:dyDescent="0.25">
      <c r="A29" s="39"/>
      <c r="B29" s="39"/>
      <c r="C29" s="40"/>
      <c r="D29" s="40"/>
      <c r="E29" s="40"/>
      <c r="F29" s="40"/>
      <c r="G29" s="40"/>
      <c r="H29" s="40"/>
      <c r="L29" s="40"/>
      <c r="M29" s="40"/>
      <c r="N29" s="40"/>
      <c r="O29" s="40"/>
      <c r="P29" s="40"/>
      <c r="Q29" s="40"/>
      <c r="R29" s="40"/>
      <c r="S29" s="40"/>
      <c r="T29" s="40"/>
    </row>
    <row r="30" spans="1:22" s="42" customFormat="1" x14ac:dyDescent="0.25">
      <c r="A30" s="83" t="s">
        <v>29</v>
      </c>
      <c r="B30" s="84"/>
      <c r="C30" s="84"/>
      <c r="D30" s="84"/>
      <c r="E30" s="84"/>
      <c r="F30" s="84"/>
      <c r="G30" s="84"/>
      <c r="H30" s="84"/>
      <c r="I30" s="84"/>
      <c r="J30" s="84"/>
      <c r="K30" s="84"/>
      <c r="L30" s="84"/>
      <c r="M30" s="84"/>
      <c r="N30" s="84"/>
      <c r="O30" s="84"/>
      <c r="P30" s="84"/>
      <c r="Q30" s="84"/>
      <c r="R30" s="84"/>
      <c r="S30" s="84"/>
      <c r="T30" s="84"/>
      <c r="U30" s="84"/>
      <c r="V30" s="85"/>
    </row>
    <row r="31" spans="1:22" s="44" customFormat="1" x14ac:dyDescent="0.25">
      <c r="A31" s="43"/>
      <c r="B31" s="43"/>
      <c r="C31" s="43"/>
      <c r="D31" s="43"/>
      <c r="E31" s="43"/>
      <c r="F31" s="43"/>
      <c r="G31" s="43"/>
      <c r="H31" s="43"/>
      <c r="I31" s="43"/>
      <c r="J31" s="43"/>
      <c r="K31" s="43"/>
      <c r="L31" s="43"/>
      <c r="M31" s="43"/>
      <c r="N31" s="43"/>
      <c r="O31" s="43"/>
      <c r="P31" s="43"/>
      <c r="Q31" s="43"/>
      <c r="R31" s="43"/>
      <c r="S31" s="43"/>
      <c r="T31" s="43"/>
    </row>
    <row r="32" spans="1:22" s="44" customFormat="1" x14ac:dyDescent="0.25">
      <c r="A32" s="43"/>
      <c r="B32" s="43"/>
      <c r="C32" s="43"/>
      <c r="D32" s="43"/>
      <c r="E32" s="43"/>
      <c r="F32" s="43"/>
      <c r="G32" s="43"/>
      <c r="H32" s="94" t="s">
        <v>30</v>
      </c>
      <c r="I32" s="95"/>
      <c r="J32" s="95"/>
      <c r="K32" s="95"/>
      <c r="L32" s="95"/>
      <c r="M32" s="95"/>
      <c r="N32" s="95"/>
      <c r="O32" s="95"/>
      <c r="P32" s="95"/>
      <c r="Q32" s="96"/>
      <c r="R32" s="45"/>
      <c r="S32" s="45"/>
      <c r="T32" s="45"/>
    </row>
    <row r="33" spans="1:22" s="46" customFormat="1" ht="12" x14ac:dyDescent="0.2">
      <c r="H33" s="16" t="s">
        <v>31</v>
      </c>
      <c r="I33" s="16" t="s">
        <v>32</v>
      </c>
      <c r="J33" s="16" t="s">
        <v>33</v>
      </c>
      <c r="M33" s="47"/>
      <c r="N33" s="47"/>
      <c r="O33" s="47"/>
      <c r="P33" s="47"/>
      <c r="Q33" s="47"/>
      <c r="R33" s="47"/>
      <c r="S33" s="47"/>
      <c r="T33" s="47"/>
    </row>
    <row r="34" spans="1:22" s="46" customFormat="1" ht="12.75" customHeight="1" x14ac:dyDescent="0.2">
      <c r="C34" s="16" t="s">
        <v>34</v>
      </c>
      <c r="D34" s="46" t="s">
        <v>10</v>
      </c>
      <c r="E34" s="46" t="s">
        <v>35</v>
      </c>
      <c r="F34" s="46" t="s">
        <v>36</v>
      </c>
      <c r="H34" s="16" t="s">
        <v>37</v>
      </c>
      <c r="I34" s="16" t="s">
        <v>38</v>
      </c>
      <c r="J34" s="16" t="s">
        <v>39</v>
      </c>
      <c r="L34" s="90" t="s">
        <v>40</v>
      </c>
      <c r="M34" s="90"/>
      <c r="N34" s="90"/>
      <c r="O34" s="90"/>
      <c r="P34" s="90"/>
      <c r="Q34" s="90"/>
      <c r="R34" s="48"/>
      <c r="S34" s="48"/>
      <c r="T34" s="48"/>
    </row>
    <row r="35" spans="1:22" s="46" customFormat="1" ht="12" x14ac:dyDescent="0.2">
      <c r="C35" s="23" t="s">
        <v>41</v>
      </c>
      <c r="D35" s="69" t="s">
        <v>42</v>
      </c>
      <c r="E35" s="69" t="s">
        <v>43</v>
      </c>
      <c r="F35" s="69" t="s">
        <v>44</v>
      </c>
      <c r="G35" s="47"/>
      <c r="H35" s="23" t="s">
        <v>45</v>
      </c>
      <c r="I35" s="23" t="s">
        <v>46</v>
      </c>
      <c r="J35" s="23" t="s">
        <v>47</v>
      </c>
      <c r="K35" s="69"/>
      <c r="L35" s="69" t="s">
        <v>48</v>
      </c>
      <c r="M35" s="69" t="s">
        <v>49</v>
      </c>
      <c r="N35" s="69" t="s">
        <v>50</v>
      </c>
      <c r="O35" s="69" t="s">
        <v>51</v>
      </c>
      <c r="P35" s="50"/>
      <c r="Q35" s="69" t="s">
        <v>52</v>
      </c>
    </row>
    <row r="36" spans="1:22" s="42" customFormat="1" x14ac:dyDescent="0.25">
      <c r="A36" s="4">
        <v>43922</v>
      </c>
      <c r="B36" s="39"/>
      <c r="C36" s="36">
        <f>(F14*0.63)+(O14+R14)*0.9</f>
        <v>0</v>
      </c>
      <c r="D36" s="36">
        <f>(F14*0.37)+(O14+R14)*0.1</f>
        <v>0</v>
      </c>
      <c r="E36" s="26"/>
      <c r="F36" s="26"/>
      <c r="H36" s="36">
        <f>F14*0.37*0.8+(O14+R14)*0.1*0.8+((E36+F36)*0.8)</f>
        <v>0</v>
      </c>
      <c r="I36" s="36">
        <f>F14*0.37*0.05+(O14+R14)*0.1*0.05+((E36+F36)*0.05)</f>
        <v>0</v>
      </c>
      <c r="J36" s="36">
        <f>F14*0.37*0.05+(O14+R14)*0.1*0.05+((E36+F36)*0.05)</f>
        <v>0</v>
      </c>
      <c r="L36" s="36">
        <f>(F14*0.37*0.1+(O14+R14)*0.1*0.1)*200600/373770+((E36+F36)*0.1*200600/373770)</f>
        <v>0</v>
      </c>
      <c r="M36" s="36">
        <f>(F14*0.37*0.1+(O14+R14)*0.1*0.1)*41600/373770+((E36+F36)*0.1*41600/373770)</f>
        <v>0</v>
      </c>
      <c r="N36" s="36">
        <f>(F14*0.37*0.1+(O14+R14)*0.1*0.1)*9989/373770+((E36+F36)*0.1*9989/373770)</f>
        <v>0</v>
      </c>
      <c r="O36" s="36">
        <f>(F14*0.37*0.1+(O14+R14)*0.1*0.1)*101564/373770+((E36+F36)*0.1*101564/373770)</f>
        <v>0</v>
      </c>
      <c r="Q36" s="36">
        <f>(F14*0.37*0.1+(O14+R14)*0.1*0.1)*20017/373770+((E36+F36)*0.1*20017/373770)</f>
        <v>0</v>
      </c>
    </row>
    <row r="37" spans="1:22" s="42" customFormat="1" x14ac:dyDescent="0.25">
      <c r="A37" s="4">
        <v>43952</v>
      </c>
      <c r="B37" s="39"/>
      <c r="C37" s="36">
        <f t="shared" ref="C37:C38" si="3">(F15*0.63)+(O15+R15)*0.9</f>
        <v>0</v>
      </c>
      <c r="D37" s="36">
        <f t="shared" ref="D37:D38" si="4">(F15*0.37)+(O15+R15)*0.1</f>
        <v>0</v>
      </c>
      <c r="E37" s="26"/>
      <c r="F37" s="26"/>
      <c r="H37" s="36">
        <f>F15*0.37*0.8+(O15+R15)*0.1*0.8+((E37+F37)*0.8)</f>
        <v>0</v>
      </c>
      <c r="I37" s="36">
        <f>F15*0.37*0.05+(O15+R15)*0.1*0.05+((E37+F37)*0.05)</f>
        <v>0</v>
      </c>
      <c r="J37" s="36">
        <f>F15*0.37*0.05+(O15+R15)*0.1*0.05+((E37+F37)*0.05)</f>
        <v>0</v>
      </c>
      <c r="L37" s="36">
        <f>(F15*0.37*0.1+(O15+R15)*0.1*0.1)*200600/373770+((E37+F37)*0.1*200600/373770)</f>
        <v>0</v>
      </c>
      <c r="M37" s="36">
        <f>(F15*0.37*0.1+(O15+R15)*0.1*0.1)*41600/373770+((E37+F37)*0.1*41600/373770)</f>
        <v>0</v>
      </c>
      <c r="N37" s="36">
        <f>(F15*0.37*0.1+(O15+R15)*0.1*0.1)*9989/373770+((E37+F37)*0.1*9989/373770)</f>
        <v>0</v>
      </c>
      <c r="O37" s="36">
        <f>(F15*0.37*0.1+(O15+R15)*0.1*0.1)*101564/373770+((E37+F37)*0.1*101564/373770)</f>
        <v>0</v>
      </c>
      <c r="Q37" s="36">
        <f>(F15*0.37*0.1+(O15+R15)*0.1*0.1)*20017/373770+((E37+F37)*0.1*20017/373770)</f>
        <v>0</v>
      </c>
      <c r="U37" s="28"/>
      <c r="V37" s="28"/>
    </row>
    <row r="38" spans="1:22" s="42" customFormat="1" x14ac:dyDescent="0.25">
      <c r="A38" s="4">
        <v>43983</v>
      </c>
      <c r="B38" s="39"/>
      <c r="C38" s="36">
        <f t="shared" si="3"/>
        <v>0</v>
      </c>
      <c r="D38" s="36">
        <f t="shared" si="4"/>
        <v>0</v>
      </c>
      <c r="E38" s="26"/>
      <c r="F38" s="26"/>
      <c r="H38" s="36">
        <f>F16*0.37*0.8+(O16+R16)*0.1*0.8+((E38+F38)*0.8)</f>
        <v>0</v>
      </c>
      <c r="I38" s="36">
        <f t="shared" ref="I38" si="5">F16*0.37*0.05+(O16+R16)*0.1*0.05+((E38+F38)*0.05)</f>
        <v>0</v>
      </c>
      <c r="J38" s="36">
        <f t="shared" ref="J38" si="6">F16*0.37*0.05+(O16+R16)*0.1*0.05+((E38+F38)*0.05)</f>
        <v>0</v>
      </c>
      <c r="L38" s="36">
        <f t="shared" ref="L38" si="7">(F16*0.37*0.1+(O16+R16)*0.1*0.1)*200600/373770+((E38+F38)*0.1*200600/373770)</f>
        <v>0</v>
      </c>
      <c r="M38" s="36">
        <f t="shared" ref="M38" si="8">(F16*0.37*0.1+(O16+R16)*0.1*0.1)*41600/373770+((E38+F38)*0.1*41600/373770)</f>
        <v>0</v>
      </c>
      <c r="N38" s="36">
        <f t="shared" ref="N38" si="9">(F16*0.37*0.1+(O16+R16)*0.1*0.1)*9989/373770+((E38+F38)*0.1*9989/373770)</f>
        <v>0</v>
      </c>
      <c r="O38" s="36">
        <f t="shared" ref="O38" si="10">(F16*0.37*0.1+(O16+R16)*0.1*0.1)*101564/373770+((E38+F38)*0.1*101564/373770)</f>
        <v>0</v>
      </c>
      <c r="Q38" s="36">
        <f t="shared" ref="Q38" si="11">(F16*0.37*0.1+(O16+R16)*0.1*0.1)*20017/373770+((E38+F38)*0.1*20017/373770)</f>
        <v>0</v>
      </c>
      <c r="U38" s="28"/>
      <c r="V38" s="28"/>
    </row>
    <row r="39" spans="1:22" s="42" customFormat="1" x14ac:dyDescent="0.25">
      <c r="A39" s="4">
        <v>44013</v>
      </c>
      <c r="B39" s="39"/>
      <c r="C39" s="36">
        <f>(F17*0.63)+(O17+R17+T17)*0.9</f>
        <v>0</v>
      </c>
      <c r="D39" s="36">
        <f>(F17*0.37)+(O17+R17+T17)*0.1</f>
        <v>0</v>
      </c>
      <c r="E39" s="26"/>
      <c r="F39" s="26"/>
      <c r="H39" s="36">
        <f>F17*0.37*0.8+(O17+R17+T17)*0.1*0.8+((E39+F39)*0.8)</f>
        <v>0</v>
      </c>
      <c r="I39" s="36">
        <f>F17*0.37*0.05+(O17+R17+T17)*0.1*0.05+((E39+F39)*0.05)</f>
        <v>0</v>
      </c>
      <c r="J39" s="36">
        <f>F17*0.37*0.05+(O17+R17+T17)*0.1*0.05+((E39+F39)*0.05)</f>
        <v>0</v>
      </c>
      <c r="L39" s="36">
        <f>(F17*0.37*0.1+(O17+R17+T17)*0.1*0.1)*200600/373770+((E39+F39)*0.1*200600/373770)</f>
        <v>0</v>
      </c>
      <c r="M39" s="36">
        <f>(F17*0.37*0.1+(O17+R17+T17)*0.1*0.1)*41600/373770+((E39+F39)*0.1*41600/373770)</f>
        <v>0</v>
      </c>
      <c r="N39" s="36">
        <f>(F17*0.37*0.1+(O17+R17+T17)*0.1*0.1)*9989/373770+((E39+F39)*0.1*9989/373770)</f>
        <v>0</v>
      </c>
      <c r="O39" s="36">
        <f>(F17*0.37*0.1+(O17+R17+T17)*0.1*0.1)*101564/373770+((E39+F39)*0.1*101564/373770)</f>
        <v>0</v>
      </c>
      <c r="Q39" s="36">
        <f>(F17*0.37*0.1+(O17+R17+T17)*0.1*0.1)*20017/373770+((E39+F39)*0.1*20017/373770)</f>
        <v>0</v>
      </c>
      <c r="U39" s="28"/>
      <c r="V39" s="28"/>
    </row>
    <row r="40" spans="1:22" s="42" customFormat="1" x14ac:dyDescent="0.25">
      <c r="A40" s="4">
        <v>44044</v>
      </c>
      <c r="B40" s="39"/>
      <c r="C40" s="36">
        <f t="shared" ref="C40:C47" si="12">(F18*0.63)+(O18+R18+T18)*0.9</f>
        <v>0</v>
      </c>
      <c r="D40" s="36">
        <f t="shared" ref="D40:D47" si="13">(F18*0.37)+(O18+R18+T18)*0.1</f>
        <v>0</v>
      </c>
      <c r="E40" s="26"/>
      <c r="F40" s="26"/>
      <c r="H40" s="36">
        <f t="shared" ref="H40:H47" si="14">F18*0.37*0.8+(O18+R18+T18)*0.1*0.8+((E40+F40)*0.8)</f>
        <v>0</v>
      </c>
      <c r="I40" s="36">
        <f t="shared" ref="I40:I47" si="15">F18*0.37*0.05+(O18+R18+T18)*0.1*0.05+((E40+F40)*0.05)</f>
        <v>0</v>
      </c>
      <c r="J40" s="36">
        <f t="shared" ref="J40:J47" si="16">F18*0.37*0.05+(O18+R18+T18)*0.1*0.05+((E40+F40)*0.05)</f>
        <v>0</v>
      </c>
      <c r="L40" s="36">
        <f t="shared" ref="L40:L47" si="17">(F18*0.37*0.1+(O18+R18+T18)*0.1*0.1)*200600/373770+((E40+F40)*0.1*200600/373770)</f>
        <v>0</v>
      </c>
      <c r="M40" s="36">
        <f t="shared" ref="M40:M47" si="18">(F18*0.37*0.1+(O18+R18+T18)*0.1*0.1)*41600/373770+((E40+F40)*0.1*41600/373770)</f>
        <v>0</v>
      </c>
      <c r="N40" s="36">
        <f t="shared" ref="N40:N47" si="19">(F18*0.37*0.1+(O18+R18+T18)*0.1*0.1)*9989/373770+((E40+F40)*0.1*9989/373770)</f>
        <v>0</v>
      </c>
      <c r="O40" s="36">
        <f t="shared" ref="O40:O47" si="20">(F18*0.37*0.1+(O18+R18+T18)*0.1*0.1)*101564/373770+((E40+F40)*0.1*101564/373770)</f>
        <v>0</v>
      </c>
      <c r="Q40" s="36">
        <f t="shared" ref="Q40:Q47" si="21">(F18*0.37*0.1+(O18+R18+T18)*0.1*0.1)*20017/373770+((E40+F40)*0.1*20017/373770)</f>
        <v>0</v>
      </c>
      <c r="U40" s="28"/>
      <c r="V40" s="28"/>
    </row>
    <row r="41" spans="1:22" s="42" customFormat="1" x14ac:dyDescent="0.25">
      <c r="A41" s="4">
        <v>44075</v>
      </c>
      <c r="B41" s="39"/>
      <c r="C41" s="36">
        <f t="shared" si="12"/>
        <v>2091494.0969999998</v>
      </c>
      <c r="D41" s="36">
        <f t="shared" si="13"/>
        <v>1187124.5530000001</v>
      </c>
      <c r="E41" s="26">
        <v>8676.81</v>
      </c>
      <c r="F41" s="26">
        <v>0</v>
      </c>
      <c r="G41" s="30"/>
      <c r="H41" s="36">
        <f t="shared" si="14"/>
        <v>956641.0904000001</v>
      </c>
      <c r="I41" s="36">
        <f t="shared" si="15"/>
        <v>59790.068150000006</v>
      </c>
      <c r="J41" s="36">
        <f t="shared" si="16"/>
        <v>59790.068150000006</v>
      </c>
      <c r="L41" s="36">
        <f t="shared" si="17"/>
        <v>64177.904437969883</v>
      </c>
      <c r="M41" s="36">
        <f t="shared" si="18"/>
        <v>13309.076892420475</v>
      </c>
      <c r="N41" s="36">
        <f t="shared" si="19"/>
        <v>3195.778102845868</v>
      </c>
      <c r="O41" s="36">
        <f t="shared" si="20"/>
        <v>32493.343401485407</v>
      </c>
      <c r="Q41" s="36">
        <f t="shared" si="21"/>
        <v>6404.0334652783804</v>
      </c>
      <c r="U41" s="28"/>
      <c r="V41" s="28"/>
    </row>
    <row r="42" spans="1:22" s="42" customFormat="1" x14ac:dyDescent="0.25">
      <c r="A42" s="4">
        <v>44105</v>
      </c>
      <c r="B42" s="39"/>
      <c r="C42" s="36">
        <f t="shared" si="12"/>
        <v>3265161.1245000004</v>
      </c>
      <c r="D42" s="36">
        <f t="shared" si="13"/>
        <v>1722741.7755000002</v>
      </c>
      <c r="E42" s="26">
        <v>15632.03</v>
      </c>
      <c r="F42" s="26">
        <v>0</v>
      </c>
      <c r="G42" s="30"/>
      <c r="H42" s="36">
        <f t="shared" si="14"/>
        <v>1390699.0444000002</v>
      </c>
      <c r="I42" s="36">
        <f t="shared" si="15"/>
        <v>86918.690275000015</v>
      </c>
      <c r="J42" s="36">
        <f t="shared" si="16"/>
        <v>86918.690275000015</v>
      </c>
      <c r="L42" s="36">
        <f t="shared" si="17"/>
        <v>93297.424989512292</v>
      </c>
      <c r="M42" s="36">
        <f t="shared" si="18"/>
        <v>19347.820935013515</v>
      </c>
      <c r="N42" s="36">
        <f t="shared" si="19"/>
        <v>4645.80248365024</v>
      </c>
      <c r="O42" s="36">
        <f t="shared" si="20"/>
        <v>47236.588592396933</v>
      </c>
      <c r="Q42" s="36">
        <f t="shared" si="21"/>
        <v>9309.7435494270558</v>
      </c>
      <c r="U42" s="28"/>
      <c r="V42" s="28"/>
    </row>
    <row r="43" spans="1:22" s="42" customFormat="1" x14ac:dyDescent="0.25">
      <c r="A43" s="4">
        <v>44136</v>
      </c>
      <c r="B43" s="39"/>
      <c r="C43" s="36">
        <f t="shared" si="12"/>
        <v>3310933.1678999998</v>
      </c>
      <c r="D43" s="36">
        <f t="shared" si="13"/>
        <v>1637215.5521</v>
      </c>
      <c r="E43" s="26">
        <v>17259.03</v>
      </c>
      <c r="F43" s="26">
        <v>0</v>
      </c>
      <c r="G43" s="30"/>
      <c r="H43" s="36">
        <f t="shared" si="14"/>
        <v>1323579.6656799999</v>
      </c>
      <c r="I43" s="36">
        <f t="shared" si="15"/>
        <v>82723.729104999991</v>
      </c>
      <c r="J43" s="36">
        <f t="shared" si="16"/>
        <v>82723.729104999991</v>
      </c>
      <c r="L43" s="36">
        <f t="shared" si="17"/>
        <v>88794.606621521263</v>
      </c>
      <c r="M43" s="36">
        <f t="shared" si="18"/>
        <v>18414.036069069214</v>
      </c>
      <c r="N43" s="36">
        <f t="shared" si="19"/>
        <v>4421.5818820656823</v>
      </c>
      <c r="O43" s="36">
        <f t="shared" si="20"/>
        <v>44956.806714397731</v>
      </c>
      <c r="Q43" s="36">
        <f t="shared" si="21"/>
        <v>8860.4269229461152</v>
      </c>
      <c r="U43" s="28"/>
      <c r="V43" s="28"/>
    </row>
    <row r="44" spans="1:22" s="42" customFormat="1" x14ac:dyDescent="0.25">
      <c r="A44" s="4">
        <v>44166</v>
      </c>
      <c r="B44" s="39"/>
      <c r="C44" s="36">
        <f t="shared" si="12"/>
        <v>3037167.9017999996</v>
      </c>
      <c r="D44" s="36">
        <f t="shared" si="13"/>
        <v>1486292.1782</v>
      </c>
      <c r="E44" s="26">
        <v>16409.490000000002</v>
      </c>
      <c r="F44" s="26">
        <v>0</v>
      </c>
      <c r="G44" s="30"/>
      <c r="H44" s="36">
        <f t="shared" si="14"/>
        <v>1202161.3345599999</v>
      </c>
      <c r="I44" s="36">
        <f t="shared" si="15"/>
        <v>75135.083409999992</v>
      </c>
      <c r="J44" s="36">
        <f t="shared" si="16"/>
        <v>75135.083409999992</v>
      </c>
      <c r="L44" s="36">
        <f t="shared" si="17"/>
        <v>80649.05012197874</v>
      </c>
      <c r="M44" s="36">
        <f t="shared" si="18"/>
        <v>16724.827941546941</v>
      </c>
      <c r="N44" s="36">
        <f t="shared" si="19"/>
        <v>4015.9689016373168</v>
      </c>
      <c r="O44" s="36">
        <f t="shared" si="20"/>
        <v>40832.702525367145</v>
      </c>
      <c r="Q44" s="36">
        <f t="shared" si="21"/>
        <v>8047.6173294698328</v>
      </c>
      <c r="U44" s="28"/>
      <c r="V44" s="28"/>
    </row>
    <row r="45" spans="1:22" s="42" customFormat="1" x14ac:dyDescent="0.25">
      <c r="A45" s="4">
        <v>44197</v>
      </c>
      <c r="B45" s="39"/>
      <c r="C45" s="36">
        <f t="shared" si="12"/>
        <v>4126734.8964000004</v>
      </c>
      <c r="D45" s="36">
        <f t="shared" si="13"/>
        <v>2050655.3136</v>
      </c>
      <c r="E45" s="26">
        <v>14581.66</v>
      </c>
      <c r="F45" s="26">
        <v>25.48</v>
      </c>
      <c r="G45" s="30"/>
      <c r="H45" s="36">
        <f t="shared" si="14"/>
        <v>1652209.96288</v>
      </c>
      <c r="I45" s="36">
        <f t="shared" si="15"/>
        <v>103263.12268</v>
      </c>
      <c r="J45" s="36">
        <f t="shared" si="16"/>
        <v>103263.12268</v>
      </c>
      <c r="L45" s="36">
        <f t="shared" si="17"/>
        <v>110841.33242158547</v>
      </c>
      <c r="M45" s="36">
        <f t="shared" si="18"/>
        <v>22986.039026609946</v>
      </c>
      <c r="N45" s="36">
        <f t="shared" si="19"/>
        <v>5519.412111461701</v>
      </c>
      <c r="O45" s="36">
        <f t="shared" si="20"/>
        <v>56119.088165832036</v>
      </c>
      <c r="Q45" s="36">
        <f t="shared" si="21"/>
        <v>11060.37363451085</v>
      </c>
      <c r="U45" s="28"/>
      <c r="V45" s="28"/>
    </row>
    <row r="46" spans="1:22" s="42" customFormat="1" x14ac:dyDescent="0.25">
      <c r="A46" s="4">
        <v>44228</v>
      </c>
      <c r="B46" s="39"/>
      <c r="C46" s="36">
        <f t="shared" si="12"/>
        <v>3863642.0265000002</v>
      </c>
      <c r="D46" s="36">
        <f t="shared" si="13"/>
        <v>1962495.0234999999</v>
      </c>
      <c r="E46" s="26">
        <v>18577.599999999999</v>
      </c>
      <c r="F46" s="26">
        <v>6000</v>
      </c>
      <c r="G46" s="30"/>
      <c r="H46" s="36">
        <f t="shared" si="14"/>
        <v>1589658.0988</v>
      </c>
      <c r="I46" s="36">
        <f t="shared" si="15"/>
        <v>99353.631175000002</v>
      </c>
      <c r="J46" s="36">
        <f t="shared" si="16"/>
        <v>99353.631175000002</v>
      </c>
      <c r="L46" s="36">
        <f t="shared" si="17"/>
        <v>106644.93358859725</v>
      </c>
      <c r="M46" s="36">
        <f t="shared" si="18"/>
        <v>22115.798790058056</v>
      </c>
      <c r="N46" s="36">
        <f t="shared" si="19"/>
        <v>5310.4498585069687</v>
      </c>
      <c r="O46" s="36">
        <f t="shared" si="20"/>
        <v>53994.446834458089</v>
      </c>
      <c r="Q46" s="36">
        <f t="shared" si="21"/>
        <v>10641.633278379619</v>
      </c>
      <c r="U46" s="28"/>
      <c r="V46" s="28"/>
    </row>
    <row r="47" spans="1:22" s="42" customFormat="1" x14ac:dyDescent="0.25">
      <c r="A47" s="4">
        <v>44256</v>
      </c>
      <c r="B47" s="39"/>
      <c r="C47" s="36">
        <f t="shared" si="12"/>
        <v>4937997.9347999999</v>
      </c>
      <c r="D47" s="36">
        <f t="shared" si="13"/>
        <v>2646469.3452000003</v>
      </c>
      <c r="E47" s="26">
        <v>18582.27</v>
      </c>
      <c r="F47" s="26">
        <v>0</v>
      </c>
      <c r="G47" s="30"/>
      <c r="H47" s="36">
        <f t="shared" si="14"/>
        <v>2132041.2921600002</v>
      </c>
      <c r="I47" s="36">
        <f t="shared" si="15"/>
        <v>133252.58076000001</v>
      </c>
      <c r="J47" s="36">
        <f t="shared" si="16"/>
        <v>133252.58076000001</v>
      </c>
      <c r="L47" s="36">
        <f t="shared" si="17"/>
        <v>143031.63817564814</v>
      </c>
      <c r="M47" s="36">
        <f t="shared" si="18"/>
        <v>29661.59595267678</v>
      </c>
      <c r="N47" s="36">
        <f t="shared" si="19"/>
        <v>7122.3481243098167</v>
      </c>
      <c r="O47" s="36">
        <f t="shared" si="20"/>
        <v>72417.075272540009</v>
      </c>
      <c r="Q47" s="36">
        <f t="shared" si="21"/>
        <v>14272.503994825267</v>
      </c>
      <c r="U47" s="28"/>
      <c r="V47" s="28"/>
    </row>
    <row r="48" spans="1:22" s="42" customFormat="1" ht="15.75" thickBot="1" x14ac:dyDescent="0.3">
      <c r="A48" s="4" t="s">
        <v>28</v>
      </c>
      <c r="B48" s="39"/>
      <c r="C48" s="51">
        <f t="shared" ref="C48:D48" si="22">SUM(C36:C47)</f>
        <v>24633131.148899999</v>
      </c>
      <c r="D48" s="51">
        <f t="shared" si="22"/>
        <v>12692993.7411</v>
      </c>
      <c r="E48" s="31">
        <f>SUM(E36:E47)</f>
        <v>109718.89</v>
      </c>
      <c r="F48" s="51">
        <f>SUM(F36:F47)</f>
        <v>6025.48</v>
      </c>
      <c r="G48" s="36"/>
      <c r="H48" s="51">
        <f>SUM(H36:H47)</f>
        <v>10246990.488880001</v>
      </c>
      <c r="I48" s="51">
        <f t="shared" ref="I48:Q48" si="23">SUM(I36:I47)</f>
        <v>640436.90555500006</v>
      </c>
      <c r="J48" s="51">
        <f t="shared" si="23"/>
        <v>640436.90555500006</v>
      </c>
      <c r="K48" s="51"/>
      <c r="L48" s="51">
        <f t="shared" si="23"/>
        <v>687436.89035681309</v>
      </c>
      <c r="M48" s="51">
        <f t="shared" si="23"/>
        <v>142559.19560739494</v>
      </c>
      <c r="N48" s="51">
        <f t="shared" si="23"/>
        <v>34231.341464477591</v>
      </c>
      <c r="O48" s="51">
        <f t="shared" si="23"/>
        <v>348050.05150647741</v>
      </c>
      <c r="P48" s="51"/>
      <c r="Q48" s="51">
        <f t="shared" si="23"/>
        <v>68596.332174837124</v>
      </c>
      <c r="U48" s="28"/>
      <c r="V48" s="28"/>
    </row>
    <row r="49" spans="1:20" s="42" customFormat="1" ht="15.75" thickTop="1" x14ac:dyDescent="0.25">
      <c r="A49" s="39"/>
      <c r="B49" s="39"/>
      <c r="C49" s="36"/>
      <c r="D49" s="40"/>
      <c r="E49" s="40"/>
      <c r="F49" s="40"/>
      <c r="G49" s="40"/>
      <c r="H49" s="40"/>
      <c r="I49" s="40"/>
      <c r="L49" s="40"/>
      <c r="M49" s="40"/>
      <c r="N49" s="40"/>
      <c r="O49" s="40"/>
      <c r="Q49" s="40"/>
    </row>
    <row r="50" spans="1:20" s="42" customFormat="1" x14ac:dyDescent="0.25">
      <c r="A50" s="39"/>
      <c r="B50" s="39"/>
      <c r="C50" s="40">
        <f>C48/V26</f>
        <v>0.65994343697594582</v>
      </c>
      <c r="D50" s="40">
        <f>D48/V26</f>
        <v>0.34005656302405413</v>
      </c>
      <c r="E50" s="40"/>
      <c r="F50" s="40"/>
      <c r="G50" s="40"/>
      <c r="H50" s="40">
        <f>H48/($D$48+$E$48+$F$48)</f>
        <v>0.8</v>
      </c>
      <c r="I50" s="40">
        <f t="shared" ref="I50:Q50" si="24">I48/($D$48+$E$48+$F$48)</f>
        <v>0.05</v>
      </c>
      <c r="J50" s="40">
        <f t="shared" si="24"/>
        <v>0.05</v>
      </c>
      <c r="K50" s="40"/>
      <c r="L50" s="40">
        <f t="shared" si="24"/>
        <v>5.3669368863204649E-2</v>
      </c>
      <c r="M50" s="40">
        <f t="shared" si="24"/>
        <v>1.112983920592878E-2</v>
      </c>
      <c r="N50" s="40">
        <f t="shared" si="24"/>
        <v>2.6724991304813116E-3</v>
      </c>
      <c r="O50" s="40">
        <f t="shared" si="24"/>
        <v>2.7172860315167083E-2</v>
      </c>
      <c r="P50" s="40"/>
      <c r="Q50" s="40">
        <f t="shared" si="24"/>
        <v>5.3554324852181819E-3</v>
      </c>
    </row>
    <row r="51" spans="1:20" s="42" customFormat="1" x14ac:dyDescent="0.25">
      <c r="A51" s="39"/>
      <c r="B51" s="39"/>
      <c r="C51" s="40"/>
      <c r="D51" s="40"/>
      <c r="H51" s="40"/>
      <c r="I51" s="40"/>
      <c r="J51" s="40"/>
      <c r="K51" s="40"/>
      <c r="L51" s="40"/>
      <c r="M51" s="40"/>
      <c r="N51" s="40"/>
      <c r="O51" s="40"/>
      <c r="P51" s="40"/>
      <c r="Q51" s="40"/>
      <c r="R51" s="40"/>
      <c r="S51" s="40"/>
      <c r="T51" s="40"/>
    </row>
    <row r="52" spans="1:20" s="42" customFormat="1" x14ac:dyDescent="0.25">
      <c r="A52" s="52" t="s">
        <v>53</v>
      </c>
      <c r="B52" s="39"/>
      <c r="C52" s="40"/>
      <c r="D52" s="40"/>
      <c r="H52" s="40"/>
      <c r="I52" s="40"/>
      <c r="J52" s="40"/>
      <c r="K52" s="40"/>
      <c r="L52" s="40"/>
      <c r="M52" s="40"/>
      <c r="N52" s="40"/>
      <c r="O52" s="40"/>
      <c r="P52" s="40"/>
      <c r="Q52" s="40"/>
      <c r="R52" s="40"/>
      <c r="S52" s="40"/>
      <c r="T52" s="40"/>
    </row>
    <row r="53" spans="1:20" s="42" customFormat="1" x14ac:dyDescent="0.25">
      <c r="A53" s="53" t="s">
        <v>72</v>
      </c>
      <c r="B53" s="39"/>
      <c r="C53" s="40"/>
      <c r="D53" s="40"/>
      <c r="H53" s="40"/>
      <c r="I53" s="40"/>
      <c r="J53" s="40"/>
      <c r="K53" s="40"/>
      <c r="L53" s="40"/>
      <c r="M53" s="40"/>
      <c r="N53" s="40"/>
      <c r="O53" s="40"/>
      <c r="P53" s="40"/>
      <c r="Q53" s="40"/>
      <c r="R53" s="40"/>
      <c r="S53" s="40"/>
      <c r="T53" s="40"/>
    </row>
    <row r="54" spans="1:20" s="42" customFormat="1" x14ac:dyDescent="0.25">
      <c r="A54" s="53" t="s">
        <v>55</v>
      </c>
      <c r="B54" s="39"/>
      <c r="C54" s="40"/>
      <c r="D54" s="40"/>
      <c r="H54" s="40"/>
      <c r="I54" s="40"/>
      <c r="J54" s="40"/>
      <c r="K54" s="40"/>
      <c r="L54" s="40"/>
      <c r="M54" s="40"/>
      <c r="N54" s="40"/>
      <c r="O54" s="40"/>
      <c r="P54" s="40"/>
      <c r="Q54" s="40"/>
      <c r="R54" s="40"/>
      <c r="S54" s="40"/>
      <c r="T54" s="40"/>
    </row>
    <row r="55" spans="1:20" s="42" customFormat="1" x14ac:dyDescent="0.25">
      <c r="A55" s="53" t="s">
        <v>56</v>
      </c>
      <c r="B55" s="39"/>
      <c r="C55" s="40"/>
      <c r="D55" s="40"/>
      <c r="H55" s="40"/>
      <c r="I55" s="40"/>
      <c r="J55" s="40"/>
      <c r="K55" s="40"/>
      <c r="L55" s="40"/>
      <c r="M55" s="40"/>
      <c r="N55" s="40"/>
      <c r="O55" s="40"/>
      <c r="P55" s="40"/>
      <c r="Q55" s="40"/>
      <c r="R55" s="40"/>
      <c r="S55" s="40"/>
      <c r="T55" s="40"/>
    </row>
    <row r="56" spans="1:20" s="42" customFormat="1" x14ac:dyDescent="0.25">
      <c r="A56" s="53"/>
      <c r="B56" s="39"/>
      <c r="C56" s="40"/>
      <c r="D56" s="40"/>
      <c r="H56" s="40"/>
      <c r="I56" s="40"/>
      <c r="J56" s="40"/>
      <c r="K56" s="40"/>
      <c r="L56" s="40"/>
      <c r="M56" s="40"/>
      <c r="N56" s="40"/>
      <c r="O56" s="40"/>
      <c r="P56" s="40"/>
      <c r="Q56" s="40"/>
      <c r="R56" s="40"/>
      <c r="S56" s="40"/>
      <c r="T56" s="40"/>
    </row>
    <row r="57" spans="1:20" s="42" customFormat="1" x14ac:dyDescent="0.25">
      <c r="A57" s="53" t="s">
        <v>57</v>
      </c>
      <c r="B57" s="39"/>
      <c r="C57" s="40"/>
      <c r="D57" s="54"/>
      <c r="H57" s="40"/>
      <c r="I57" s="40"/>
      <c r="J57" s="40"/>
      <c r="K57" s="40"/>
      <c r="L57" s="40"/>
      <c r="M57" s="40"/>
      <c r="N57" s="40"/>
      <c r="O57" s="40"/>
      <c r="P57" s="40"/>
      <c r="Q57" s="40"/>
      <c r="R57" s="40"/>
      <c r="S57" s="40"/>
      <c r="T57" s="40"/>
    </row>
    <row r="59" spans="1:20" s="42" customFormat="1" x14ac:dyDescent="0.25">
      <c r="A59" s="53" t="s">
        <v>58</v>
      </c>
      <c r="B59" s="39"/>
      <c r="C59" s="40"/>
      <c r="D59" s="54"/>
      <c r="H59" s="40"/>
      <c r="I59" s="40"/>
      <c r="J59" s="40"/>
      <c r="K59" s="40"/>
      <c r="L59" s="40"/>
      <c r="M59" s="40"/>
      <c r="N59" s="40"/>
      <c r="O59" s="40"/>
      <c r="P59" s="40"/>
      <c r="Q59" s="40"/>
      <c r="R59" s="40"/>
      <c r="S59" s="40"/>
      <c r="T59" s="40"/>
    </row>
    <row r="60" spans="1:20" s="42" customFormat="1" x14ac:dyDescent="0.25">
      <c r="A60" s="53" t="s">
        <v>73</v>
      </c>
      <c r="B60" s="39"/>
      <c r="C60" s="40"/>
      <c r="D60" s="54"/>
      <c r="H60" s="40"/>
      <c r="I60" s="40"/>
      <c r="J60" s="40"/>
      <c r="K60" s="40"/>
      <c r="L60" s="40"/>
      <c r="M60" s="40"/>
      <c r="N60" s="40"/>
      <c r="O60" s="40"/>
      <c r="P60" s="40"/>
      <c r="Q60" s="40"/>
      <c r="R60" s="40"/>
      <c r="S60" s="40"/>
      <c r="T60" s="40"/>
    </row>
    <row r="62" spans="1:20" x14ac:dyDescent="0.25">
      <c r="A62" s="53" t="s">
        <v>60</v>
      </c>
    </row>
    <row r="63" spans="1:20" x14ac:dyDescent="0.25">
      <c r="A63" s="53"/>
    </row>
    <row r="64" spans="1:20" x14ac:dyDescent="0.25">
      <c r="A64" s="53" t="s">
        <v>74</v>
      </c>
    </row>
    <row r="65" spans="1:15" x14ac:dyDescent="0.25">
      <c r="A65" s="53"/>
      <c r="B65" s="55"/>
      <c r="C65" s="56"/>
      <c r="D65" s="56"/>
      <c r="E65" s="56"/>
      <c r="F65" s="56"/>
      <c r="G65" s="56"/>
      <c r="H65" s="56"/>
      <c r="I65" s="57"/>
      <c r="J65" s="56"/>
      <c r="K65" s="56"/>
      <c r="L65" s="56"/>
      <c r="M65" s="56"/>
      <c r="N65" s="56"/>
      <c r="O65" s="56"/>
    </row>
    <row r="66" spans="1:15" x14ac:dyDescent="0.25">
      <c r="A66" s="65" t="s">
        <v>68</v>
      </c>
    </row>
    <row r="68" spans="1:15" x14ac:dyDescent="0.25">
      <c r="D68" s="58"/>
    </row>
  </sheetData>
  <mergeCells count="12">
    <mergeCell ref="L34:Q34"/>
    <mergeCell ref="A1:V1"/>
    <mergeCell ref="A2:V2"/>
    <mergeCell ref="A3:V3"/>
    <mergeCell ref="A4:V4"/>
    <mergeCell ref="A5:V5"/>
    <mergeCell ref="A8:V8"/>
    <mergeCell ref="C10:I10"/>
    <mergeCell ref="L10:O10"/>
    <mergeCell ref="Q10:R10"/>
    <mergeCell ref="A30:V30"/>
    <mergeCell ref="H32:Q32"/>
  </mergeCells>
  <hyperlinks>
    <hyperlink ref="A4" r:id="rId1" xr:uid="{EF8DE8DD-DA74-447D-89BD-1B5C5521FA30}"/>
  </hyperlinks>
  <printOptions horizontalCentered="1" verticalCentered="1"/>
  <pageMargins left="0" right="0" top="0.25" bottom="0.25" header="0.3" footer="0.3"/>
  <pageSetup scale="61" orientation="landscape" r:id="rId2"/>
  <ignoredErrors>
    <ignoredError sqref="I21"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8"/>
  <sheetViews>
    <sheetView zoomScale="80" zoomScaleNormal="80" workbookViewId="0">
      <selection activeCell="I25" sqref="I25"/>
    </sheetView>
  </sheetViews>
  <sheetFormatPr defaultRowHeight="15" x14ac:dyDescent="0.25"/>
  <cols>
    <col min="1" max="1" width="9.28515625" style="4" customWidth="1"/>
    <col min="2" max="2" width="1.7109375" style="4" customWidth="1"/>
    <col min="3" max="3" width="14.140625" style="28" customWidth="1"/>
    <col min="4" max="4" width="13.140625" style="28" customWidth="1"/>
    <col min="5" max="5" width="14.140625" style="28" customWidth="1"/>
    <col min="6" max="6" width="15.85546875" style="28" customWidth="1"/>
    <col min="7" max="7" width="1.85546875" style="28" customWidth="1"/>
    <col min="8" max="8" width="14.28515625" style="28" customWidth="1"/>
    <col min="9" max="9" width="11.85546875" style="37" customWidth="1"/>
    <col min="10" max="10" width="11.5703125" style="28" customWidth="1"/>
    <col min="11" max="11" width="1.140625" style="28" customWidth="1"/>
    <col min="12" max="12" width="11.85546875" style="28" customWidth="1"/>
    <col min="13" max="13" width="12.7109375" style="28" customWidth="1"/>
    <col min="14" max="14" width="11.5703125" style="28" customWidth="1"/>
    <col min="15" max="15" width="12.42578125" style="28" customWidth="1"/>
    <col min="16" max="16" width="3.7109375" style="28" customWidth="1"/>
    <col min="17" max="17" width="11.42578125" style="28" customWidth="1"/>
    <col min="18" max="18" width="12.140625" style="28" customWidth="1"/>
    <col min="19" max="19" width="3.7109375" style="28" customWidth="1"/>
    <col min="20" max="20" width="16" style="28" bestFit="1" customWidth="1"/>
    <col min="21" max="21" width="3.7109375" style="1" customWidth="1"/>
    <col min="22" max="22" width="14.28515625" style="1" customWidth="1"/>
    <col min="23" max="23" width="9.85546875" style="1" customWidth="1"/>
    <col min="24" max="259" width="8.85546875" style="1"/>
    <col min="260" max="260" width="9.28515625" style="1" customWidth="1"/>
    <col min="261" max="261" width="1.7109375" style="1" customWidth="1"/>
    <col min="262" max="265" width="12" style="1" customWidth="1"/>
    <col min="266" max="266" width="11.85546875" style="1" customWidth="1"/>
    <col min="267" max="267" width="10.7109375" style="1" customWidth="1"/>
    <col min="268" max="268" width="10.5703125" style="1" customWidth="1"/>
    <col min="269" max="269" width="1.140625" style="1" customWidth="1"/>
    <col min="270" max="270" width="11.28515625" style="1" customWidth="1"/>
    <col min="271" max="271" width="12.7109375" style="1" customWidth="1"/>
    <col min="272" max="272" width="11.5703125" style="1" customWidth="1"/>
    <col min="273" max="273" width="12.42578125" style="1" customWidth="1"/>
    <col min="274" max="274" width="1.5703125" style="1" customWidth="1"/>
    <col min="275" max="275" width="11.42578125" style="1" customWidth="1"/>
    <col min="276" max="276" width="12.140625" style="1" customWidth="1"/>
    <col min="277" max="277" width="1.7109375" style="1" customWidth="1"/>
    <col min="278" max="278" width="13.5703125" style="1" customWidth="1"/>
    <col min="279" max="515" width="8.85546875" style="1"/>
    <col min="516" max="516" width="9.28515625" style="1" customWidth="1"/>
    <col min="517" max="517" width="1.7109375" style="1" customWidth="1"/>
    <col min="518" max="521" width="12" style="1" customWidth="1"/>
    <col min="522" max="522" width="11.85546875" style="1" customWidth="1"/>
    <col min="523" max="523" width="10.7109375" style="1" customWidth="1"/>
    <col min="524" max="524" width="10.5703125" style="1" customWidth="1"/>
    <col min="525" max="525" width="1.140625" style="1" customWidth="1"/>
    <col min="526" max="526" width="11.28515625" style="1" customWidth="1"/>
    <col min="527" max="527" width="12.7109375" style="1" customWidth="1"/>
    <col min="528" max="528" width="11.5703125" style="1" customWidth="1"/>
    <col min="529" max="529" width="12.42578125" style="1" customWidth="1"/>
    <col min="530" max="530" width="1.5703125" style="1" customWidth="1"/>
    <col min="531" max="531" width="11.42578125" style="1" customWidth="1"/>
    <col min="532" max="532" width="12.140625" style="1" customWidth="1"/>
    <col min="533" max="533" width="1.7109375" style="1" customWidth="1"/>
    <col min="534" max="534" width="13.5703125" style="1" customWidth="1"/>
    <col min="535" max="771" width="8.85546875" style="1"/>
    <col min="772" max="772" width="9.28515625" style="1" customWidth="1"/>
    <col min="773" max="773" width="1.7109375" style="1" customWidth="1"/>
    <col min="774" max="777" width="12" style="1" customWidth="1"/>
    <col min="778" max="778" width="11.85546875" style="1" customWidth="1"/>
    <col min="779" max="779" width="10.7109375" style="1" customWidth="1"/>
    <col min="780" max="780" width="10.5703125" style="1" customWidth="1"/>
    <col min="781" max="781" width="1.140625" style="1" customWidth="1"/>
    <col min="782" max="782" width="11.28515625" style="1" customWidth="1"/>
    <col min="783" max="783" width="12.7109375" style="1" customWidth="1"/>
    <col min="784" max="784" width="11.5703125" style="1" customWidth="1"/>
    <col min="785" max="785" width="12.42578125" style="1" customWidth="1"/>
    <col min="786" max="786" width="1.5703125" style="1" customWidth="1"/>
    <col min="787" max="787" width="11.42578125" style="1" customWidth="1"/>
    <col min="788" max="788" width="12.140625" style="1" customWidth="1"/>
    <col min="789" max="789" width="1.7109375" style="1" customWidth="1"/>
    <col min="790" max="790" width="13.5703125" style="1" customWidth="1"/>
    <col min="791" max="1027" width="8.85546875" style="1"/>
    <col min="1028" max="1028" width="9.28515625" style="1" customWidth="1"/>
    <col min="1029" max="1029" width="1.7109375" style="1" customWidth="1"/>
    <col min="1030" max="1033" width="12" style="1" customWidth="1"/>
    <col min="1034" max="1034" width="11.85546875" style="1" customWidth="1"/>
    <col min="1035" max="1035" width="10.7109375" style="1" customWidth="1"/>
    <col min="1036" max="1036" width="10.5703125" style="1" customWidth="1"/>
    <col min="1037" max="1037" width="1.140625" style="1" customWidth="1"/>
    <col min="1038" max="1038" width="11.28515625" style="1" customWidth="1"/>
    <col min="1039" max="1039" width="12.7109375" style="1" customWidth="1"/>
    <col min="1040" max="1040" width="11.5703125" style="1" customWidth="1"/>
    <col min="1041" max="1041" width="12.42578125" style="1" customWidth="1"/>
    <col min="1042" max="1042" width="1.5703125" style="1" customWidth="1"/>
    <col min="1043" max="1043" width="11.42578125" style="1" customWidth="1"/>
    <col min="1044" max="1044" width="12.140625" style="1" customWidth="1"/>
    <col min="1045" max="1045" width="1.7109375" style="1" customWidth="1"/>
    <col min="1046" max="1046" width="13.5703125" style="1" customWidth="1"/>
    <col min="1047" max="1283" width="8.85546875" style="1"/>
    <col min="1284" max="1284" width="9.28515625" style="1" customWidth="1"/>
    <col min="1285" max="1285" width="1.7109375" style="1" customWidth="1"/>
    <col min="1286" max="1289" width="12" style="1" customWidth="1"/>
    <col min="1290" max="1290" width="11.85546875" style="1" customWidth="1"/>
    <col min="1291" max="1291" width="10.7109375" style="1" customWidth="1"/>
    <col min="1292" max="1292" width="10.5703125" style="1" customWidth="1"/>
    <col min="1293" max="1293" width="1.140625" style="1" customWidth="1"/>
    <col min="1294" max="1294" width="11.28515625" style="1" customWidth="1"/>
    <col min="1295" max="1295" width="12.7109375" style="1" customWidth="1"/>
    <col min="1296" max="1296" width="11.5703125" style="1" customWidth="1"/>
    <col min="1297" max="1297" width="12.42578125" style="1" customWidth="1"/>
    <col min="1298" max="1298" width="1.5703125" style="1" customWidth="1"/>
    <col min="1299" max="1299" width="11.42578125" style="1" customWidth="1"/>
    <col min="1300" max="1300" width="12.140625" style="1" customWidth="1"/>
    <col min="1301" max="1301" width="1.7109375" style="1" customWidth="1"/>
    <col min="1302" max="1302" width="13.5703125" style="1" customWidth="1"/>
    <col min="1303" max="1539" width="8.85546875" style="1"/>
    <col min="1540" max="1540" width="9.28515625" style="1" customWidth="1"/>
    <col min="1541" max="1541" width="1.7109375" style="1" customWidth="1"/>
    <col min="1542" max="1545" width="12" style="1" customWidth="1"/>
    <col min="1546" max="1546" width="11.85546875" style="1" customWidth="1"/>
    <col min="1547" max="1547" width="10.7109375" style="1" customWidth="1"/>
    <col min="1548" max="1548" width="10.5703125" style="1" customWidth="1"/>
    <col min="1549" max="1549" width="1.140625" style="1" customWidth="1"/>
    <col min="1550" max="1550" width="11.28515625" style="1" customWidth="1"/>
    <col min="1551" max="1551" width="12.7109375" style="1" customWidth="1"/>
    <col min="1552" max="1552" width="11.5703125" style="1" customWidth="1"/>
    <col min="1553" max="1553" width="12.42578125" style="1" customWidth="1"/>
    <col min="1554" max="1554" width="1.5703125" style="1" customWidth="1"/>
    <col min="1555" max="1555" width="11.42578125" style="1" customWidth="1"/>
    <col min="1556" max="1556" width="12.140625" style="1" customWidth="1"/>
    <col min="1557" max="1557" width="1.7109375" style="1" customWidth="1"/>
    <col min="1558" max="1558" width="13.5703125" style="1" customWidth="1"/>
    <col min="1559" max="1795" width="8.85546875" style="1"/>
    <col min="1796" max="1796" width="9.28515625" style="1" customWidth="1"/>
    <col min="1797" max="1797" width="1.7109375" style="1" customWidth="1"/>
    <col min="1798" max="1801" width="12" style="1" customWidth="1"/>
    <col min="1802" max="1802" width="11.85546875" style="1" customWidth="1"/>
    <col min="1803" max="1803" width="10.7109375" style="1" customWidth="1"/>
    <col min="1804" max="1804" width="10.5703125" style="1" customWidth="1"/>
    <col min="1805" max="1805" width="1.140625" style="1" customWidth="1"/>
    <col min="1806" max="1806" width="11.28515625" style="1" customWidth="1"/>
    <col min="1807" max="1807" width="12.7109375" style="1" customWidth="1"/>
    <col min="1808" max="1808" width="11.5703125" style="1" customWidth="1"/>
    <col min="1809" max="1809" width="12.42578125" style="1" customWidth="1"/>
    <col min="1810" max="1810" width="1.5703125" style="1" customWidth="1"/>
    <col min="1811" max="1811" width="11.42578125" style="1" customWidth="1"/>
    <col min="1812" max="1812" width="12.140625" style="1" customWidth="1"/>
    <col min="1813" max="1813" width="1.7109375" style="1" customWidth="1"/>
    <col min="1814" max="1814" width="13.5703125" style="1" customWidth="1"/>
    <col min="1815" max="2051" width="8.85546875" style="1"/>
    <col min="2052" max="2052" width="9.28515625" style="1" customWidth="1"/>
    <col min="2053" max="2053" width="1.7109375" style="1" customWidth="1"/>
    <col min="2054" max="2057" width="12" style="1" customWidth="1"/>
    <col min="2058" max="2058" width="11.85546875" style="1" customWidth="1"/>
    <col min="2059" max="2059" width="10.7109375" style="1" customWidth="1"/>
    <col min="2060" max="2060" width="10.5703125" style="1" customWidth="1"/>
    <col min="2061" max="2061" width="1.140625" style="1" customWidth="1"/>
    <col min="2062" max="2062" width="11.28515625" style="1" customWidth="1"/>
    <col min="2063" max="2063" width="12.7109375" style="1" customWidth="1"/>
    <col min="2064" max="2064" width="11.5703125" style="1" customWidth="1"/>
    <col min="2065" max="2065" width="12.42578125" style="1" customWidth="1"/>
    <col min="2066" max="2066" width="1.5703125" style="1" customWidth="1"/>
    <col min="2067" max="2067" width="11.42578125" style="1" customWidth="1"/>
    <col min="2068" max="2068" width="12.140625" style="1" customWidth="1"/>
    <col min="2069" max="2069" width="1.7109375" style="1" customWidth="1"/>
    <col min="2070" max="2070" width="13.5703125" style="1" customWidth="1"/>
    <col min="2071" max="2307" width="8.85546875" style="1"/>
    <col min="2308" max="2308" width="9.28515625" style="1" customWidth="1"/>
    <col min="2309" max="2309" width="1.7109375" style="1" customWidth="1"/>
    <col min="2310" max="2313" width="12" style="1" customWidth="1"/>
    <col min="2314" max="2314" width="11.85546875" style="1" customWidth="1"/>
    <col min="2315" max="2315" width="10.7109375" style="1" customWidth="1"/>
    <col min="2316" max="2316" width="10.5703125" style="1" customWidth="1"/>
    <col min="2317" max="2317" width="1.140625" style="1" customWidth="1"/>
    <col min="2318" max="2318" width="11.28515625" style="1" customWidth="1"/>
    <col min="2319" max="2319" width="12.7109375" style="1" customWidth="1"/>
    <col min="2320" max="2320" width="11.5703125" style="1" customWidth="1"/>
    <col min="2321" max="2321" width="12.42578125" style="1" customWidth="1"/>
    <col min="2322" max="2322" width="1.5703125" style="1" customWidth="1"/>
    <col min="2323" max="2323" width="11.42578125" style="1" customWidth="1"/>
    <col min="2324" max="2324" width="12.140625" style="1" customWidth="1"/>
    <col min="2325" max="2325" width="1.7109375" style="1" customWidth="1"/>
    <col min="2326" max="2326" width="13.5703125" style="1" customWidth="1"/>
    <col min="2327" max="2563" width="8.85546875" style="1"/>
    <col min="2564" max="2564" width="9.28515625" style="1" customWidth="1"/>
    <col min="2565" max="2565" width="1.7109375" style="1" customWidth="1"/>
    <col min="2566" max="2569" width="12" style="1" customWidth="1"/>
    <col min="2570" max="2570" width="11.85546875" style="1" customWidth="1"/>
    <col min="2571" max="2571" width="10.7109375" style="1" customWidth="1"/>
    <col min="2572" max="2572" width="10.5703125" style="1" customWidth="1"/>
    <col min="2573" max="2573" width="1.140625" style="1" customWidth="1"/>
    <col min="2574" max="2574" width="11.28515625" style="1" customWidth="1"/>
    <col min="2575" max="2575" width="12.7109375" style="1" customWidth="1"/>
    <col min="2576" max="2576" width="11.5703125" style="1" customWidth="1"/>
    <col min="2577" max="2577" width="12.42578125" style="1" customWidth="1"/>
    <col min="2578" max="2578" width="1.5703125" style="1" customWidth="1"/>
    <col min="2579" max="2579" width="11.42578125" style="1" customWidth="1"/>
    <col min="2580" max="2580" width="12.140625" style="1" customWidth="1"/>
    <col min="2581" max="2581" width="1.7109375" style="1" customWidth="1"/>
    <col min="2582" max="2582" width="13.5703125" style="1" customWidth="1"/>
    <col min="2583" max="2819" width="8.85546875" style="1"/>
    <col min="2820" max="2820" width="9.28515625" style="1" customWidth="1"/>
    <col min="2821" max="2821" width="1.7109375" style="1" customWidth="1"/>
    <col min="2822" max="2825" width="12" style="1" customWidth="1"/>
    <col min="2826" max="2826" width="11.85546875" style="1" customWidth="1"/>
    <col min="2827" max="2827" width="10.7109375" style="1" customWidth="1"/>
    <col min="2828" max="2828" width="10.5703125" style="1" customWidth="1"/>
    <col min="2829" max="2829" width="1.140625" style="1" customWidth="1"/>
    <col min="2830" max="2830" width="11.28515625" style="1" customWidth="1"/>
    <col min="2831" max="2831" width="12.7109375" style="1" customWidth="1"/>
    <col min="2832" max="2832" width="11.5703125" style="1" customWidth="1"/>
    <col min="2833" max="2833" width="12.42578125" style="1" customWidth="1"/>
    <col min="2834" max="2834" width="1.5703125" style="1" customWidth="1"/>
    <col min="2835" max="2835" width="11.42578125" style="1" customWidth="1"/>
    <col min="2836" max="2836" width="12.140625" style="1" customWidth="1"/>
    <col min="2837" max="2837" width="1.7109375" style="1" customWidth="1"/>
    <col min="2838" max="2838" width="13.5703125" style="1" customWidth="1"/>
    <col min="2839" max="3075" width="8.85546875" style="1"/>
    <col min="3076" max="3076" width="9.28515625" style="1" customWidth="1"/>
    <col min="3077" max="3077" width="1.7109375" style="1" customWidth="1"/>
    <col min="3078" max="3081" width="12" style="1" customWidth="1"/>
    <col min="3082" max="3082" width="11.85546875" style="1" customWidth="1"/>
    <col min="3083" max="3083" width="10.7109375" style="1" customWidth="1"/>
    <col min="3084" max="3084" width="10.5703125" style="1" customWidth="1"/>
    <col min="3085" max="3085" width="1.140625" style="1" customWidth="1"/>
    <col min="3086" max="3086" width="11.28515625" style="1" customWidth="1"/>
    <col min="3087" max="3087" width="12.7109375" style="1" customWidth="1"/>
    <col min="3088" max="3088" width="11.5703125" style="1" customWidth="1"/>
    <col min="3089" max="3089" width="12.42578125" style="1" customWidth="1"/>
    <col min="3090" max="3090" width="1.5703125" style="1" customWidth="1"/>
    <col min="3091" max="3091" width="11.42578125" style="1" customWidth="1"/>
    <col min="3092" max="3092" width="12.140625" style="1" customWidth="1"/>
    <col min="3093" max="3093" width="1.7109375" style="1" customWidth="1"/>
    <col min="3094" max="3094" width="13.5703125" style="1" customWidth="1"/>
    <col min="3095" max="3331" width="8.85546875" style="1"/>
    <col min="3332" max="3332" width="9.28515625" style="1" customWidth="1"/>
    <col min="3333" max="3333" width="1.7109375" style="1" customWidth="1"/>
    <col min="3334" max="3337" width="12" style="1" customWidth="1"/>
    <col min="3338" max="3338" width="11.85546875" style="1" customWidth="1"/>
    <col min="3339" max="3339" width="10.7109375" style="1" customWidth="1"/>
    <col min="3340" max="3340" width="10.5703125" style="1" customWidth="1"/>
    <col min="3341" max="3341" width="1.140625" style="1" customWidth="1"/>
    <col min="3342" max="3342" width="11.28515625" style="1" customWidth="1"/>
    <col min="3343" max="3343" width="12.7109375" style="1" customWidth="1"/>
    <col min="3344" max="3344" width="11.5703125" style="1" customWidth="1"/>
    <col min="3345" max="3345" width="12.42578125" style="1" customWidth="1"/>
    <col min="3346" max="3346" width="1.5703125" style="1" customWidth="1"/>
    <col min="3347" max="3347" width="11.42578125" style="1" customWidth="1"/>
    <col min="3348" max="3348" width="12.140625" style="1" customWidth="1"/>
    <col min="3349" max="3349" width="1.7109375" style="1" customWidth="1"/>
    <col min="3350" max="3350" width="13.5703125" style="1" customWidth="1"/>
    <col min="3351" max="3587" width="8.85546875" style="1"/>
    <col min="3588" max="3588" width="9.28515625" style="1" customWidth="1"/>
    <col min="3589" max="3589" width="1.7109375" style="1" customWidth="1"/>
    <col min="3590" max="3593" width="12" style="1" customWidth="1"/>
    <col min="3594" max="3594" width="11.85546875" style="1" customWidth="1"/>
    <col min="3595" max="3595" width="10.7109375" style="1" customWidth="1"/>
    <col min="3596" max="3596" width="10.5703125" style="1" customWidth="1"/>
    <col min="3597" max="3597" width="1.140625" style="1" customWidth="1"/>
    <col min="3598" max="3598" width="11.28515625" style="1" customWidth="1"/>
    <col min="3599" max="3599" width="12.7109375" style="1" customWidth="1"/>
    <col min="3600" max="3600" width="11.5703125" style="1" customWidth="1"/>
    <col min="3601" max="3601" width="12.42578125" style="1" customWidth="1"/>
    <col min="3602" max="3602" width="1.5703125" style="1" customWidth="1"/>
    <col min="3603" max="3603" width="11.42578125" style="1" customWidth="1"/>
    <col min="3604" max="3604" width="12.140625" style="1" customWidth="1"/>
    <col min="3605" max="3605" width="1.7109375" style="1" customWidth="1"/>
    <col min="3606" max="3606" width="13.5703125" style="1" customWidth="1"/>
    <col min="3607" max="3843" width="8.85546875" style="1"/>
    <col min="3844" max="3844" width="9.28515625" style="1" customWidth="1"/>
    <col min="3845" max="3845" width="1.7109375" style="1" customWidth="1"/>
    <col min="3846" max="3849" width="12" style="1" customWidth="1"/>
    <col min="3850" max="3850" width="11.85546875" style="1" customWidth="1"/>
    <col min="3851" max="3851" width="10.7109375" style="1" customWidth="1"/>
    <col min="3852" max="3852" width="10.5703125" style="1" customWidth="1"/>
    <col min="3853" max="3853" width="1.140625" style="1" customWidth="1"/>
    <col min="3854" max="3854" width="11.28515625" style="1" customWidth="1"/>
    <col min="3855" max="3855" width="12.7109375" style="1" customWidth="1"/>
    <col min="3856" max="3856" width="11.5703125" style="1" customWidth="1"/>
    <col min="3857" max="3857" width="12.42578125" style="1" customWidth="1"/>
    <col min="3858" max="3858" width="1.5703125" style="1" customWidth="1"/>
    <col min="3859" max="3859" width="11.42578125" style="1" customWidth="1"/>
    <col min="3860" max="3860" width="12.140625" style="1" customWidth="1"/>
    <col min="3861" max="3861" width="1.7109375" style="1" customWidth="1"/>
    <col min="3862" max="3862" width="13.5703125" style="1" customWidth="1"/>
    <col min="3863" max="4099" width="8.85546875" style="1"/>
    <col min="4100" max="4100" width="9.28515625" style="1" customWidth="1"/>
    <col min="4101" max="4101" width="1.7109375" style="1" customWidth="1"/>
    <col min="4102" max="4105" width="12" style="1" customWidth="1"/>
    <col min="4106" max="4106" width="11.85546875" style="1" customWidth="1"/>
    <col min="4107" max="4107" width="10.7109375" style="1" customWidth="1"/>
    <col min="4108" max="4108" width="10.5703125" style="1" customWidth="1"/>
    <col min="4109" max="4109" width="1.140625" style="1" customWidth="1"/>
    <col min="4110" max="4110" width="11.28515625" style="1" customWidth="1"/>
    <col min="4111" max="4111" width="12.7109375" style="1" customWidth="1"/>
    <col min="4112" max="4112" width="11.5703125" style="1" customWidth="1"/>
    <col min="4113" max="4113" width="12.42578125" style="1" customWidth="1"/>
    <col min="4114" max="4114" width="1.5703125" style="1" customWidth="1"/>
    <col min="4115" max="4115" width="11.42578125" style="1" customWidth="1"/>
    <col min="4116" max="4116" width="12.140625" style="1" customWidth="1"/>
    <col min="4117" max="4117" width="1.7109375" style="1" customWidth="1"/>
    <col min="4118" max="4118" width="13.5703125" style="1" customWidth="1"/>
    <col min="4119" max="4355" width="8.85546875" style="1"/>
    <col min="4356" max="4356" width="9.28515625" style="1" customWidth="1"/>
    <col min="4357" max="4357" width="1.7109375" style="1" customWidth="1"/>
    <col min="4358" max="4361" width="12" style="1" customWidth="1"/>
    <col min="4362" max="4362" width="11.85546875" style="1" customWidth="1"/>
    <col min="4363" max="4363" width="10.7109375" style="1" customWidth="1"/>
    <col min="4364" max="4364" width="10.5703125" style="1" customWidth="1"/>
    <col min="4365" max="4365" width="1.140625" style="1" customWidth="1"/>
    <col min="4366" max="4366" width="11.28515625" style="1" customWidth="1"/>
    <col min="4367" max="4367" width="12.7109375" style="1" customWidth="1"/>
    <col min="4368" max="4368" width="11.5703125" style="1" customWidth="1"/>
    <col min="4369" max="4369" width="12.42578125" style="1" customWidth="1"/>
    <col min="4370" max="4370" width="1.5703125" style="1" customWidth="1"/>
    <col min="4371" max="4371" width="11.42578125" style="1" customWidth="1"/>
    <col min="4372" max="4372" width="12.140625" style="1" customWidth="1"/>
    <col min="4373" max="4373" width="1.7109375" style="1" customWidth="1"/>
    <col min="4374" max="4374" width="13.5703125" style="1" customWidth="1"/>
    <col min="4375" max="4611" width="8.85546875" style="1"/>
    <col min="4612" max="4612" width="9.28515625" style="1" customWidth="1"/>
    <col min="4613" max="4613" width="1.7109375" style="1" customWidth="1"/>
    <col min="4614" max="4617" width="12" style="1" customWidth="1"/>
    <col min="4618" max="4618" width="11.85546875" style="1" customWidth="1"/>
    <col min="4619" max="4619" width="10.7109375" style="1" customWidth="1"/>
    <col min="4620" max="4620" width="10.5703125" style="1" customWidth="1"/>
    <col min="4621" max="4621" width="1.140625" style="1" customWidth="1"/>
    <col min="4622" max="4622" width="11.28515625" style="1" customWidth="1"/>
    <col min="4623" max="4623" width="12.7109375" style="1" customWidth="1"/>
    <col min="4624" max="4624" width="11.5703125" style="1" customWidth="1"/>
    <col min="4625" max="4625" width="12.42578125" style="1" customWidth="1"/>
    <col min="4626" max="4626" width="1.5703125" style="1" customWidth="1"/>
    <col min="4627" max="4627" width="11.42578125" style="1" customWidth="1"/>
    <col min="4628" max="4628" width="12.140625" style="1" customWidth="1"/>
    <col min="4629" max="4629" width="1.7109375" style="1" customWidth="1"/>
    <col min="4630" max="4630" width="13.5703125" style="1" customWidth="1"/>
    <col min="4631" max="4867" width="8.85546875" style="1"/>
    <col min="4868" max="4868" width="9.28515625" style="1" customWidth="1"/>
    <col min="4869" max="4869" width="1.7109375" style="1" customWidth="1"/>
    <col min="4870" max="4873" width="12" style="1" customWidth="1"/>
    <col min="4874" max="4874" width="11.85546875" style="1" customWidth="1"/>
    <col min="4875" max="4875" width="10.7109375" style="1" customWidth="1"/>
    <col min="4876" max="4876" width="10.5703125" style="1" customWidth="1"/>
    <col min="4877" max="4877" width="1.140625" style="1" customWidth="1"/>
    <col min="4878" max="4878" width="11.28515625" style="1" customWidth="1"/>
    <col min="4879" max="4879" width="12.7109375" style="1" customWidth="1"/>
    <col min="4880" max="4880" width="11.5703125" style="1" customWidth="1"/>
    <col min="4881" max="4881" width="12.42578125" style="1" customWidth="1"/>
    <col min="4882" max="4882" width="1.5703125" style="1" customWidth="1"/>
    <col min="4883" max="4883" width="11.42578125" style="1" customWidth="1"/>
    <col min="4884" max="4884" width="12.140625" style="1" customWidth="1"/>
    <col min="4885" max="4885" width="1.7109375" style="1" customWidth="1"/>
    <col min="4886" max="4886" width="13.5703125" style="1" customWidth="1"/>
    <col min="4887" max="5123" width="8.85546875" style="1"/>
    <col min="5124" max="5124" width="9.28515625" style="1" customWidth="1"/>
    <col min="5125" max="5125" width="1.7109375" style="1" customWidth="1"/>
    <col min="5126" max="5129" width="12" style="1" customWidth="1"/>
    <col min="5130" max="5130" width="11.85546875" style="1" customWidth="1"/>
    <col min="5131" max="5131" width="10.7109375" style="1" customWidth="1"/>
    <col min="5132" max="5132" width="10.5703125" style="1" customWidth="1"/>
    <col min="5133" max="5133" width="1.140625" style="1" customWidth="1"/>
    <col min="5134" max="5134" width="11.28515625" style="1" customWidth="1"/>
    <col min="5135" max="5135" width="12.7109375" style="1" customWidth="1"/>
    <col min="5136" max="5136" width="11.5703125" style="1" customWidth="1"/>
    <col min="5137" max="5137" width="12.42578125" style="1" customWidth="1"/>
    <col min="5138" max="5138" width="1.5703125" style="1" customWidth="1"/>
    <col min="5139" max="5139" width="11.42578125" style="1" customWidth="1"/>
    <col min="5140" max="5140" width="12.140625" style="1" customWidth="1"/>
    <col min="5141" max="5141" width="1.7109375" style="1" customWidth="1"/>
    <col min="5142" max="5142" width="13.5703125" style="1" customWidth="1"/>
    <col min="5143" max="5379" width="8.85546875" style="1"/>
    <col min="5380" max="5380" width="9.28515625" style="1" customWidth="1"/>
    <col min="5381" max="5381" width="1.7109375" style="1" customWidth="1"/>
    <col min="5382" max="5385" width="12" style="1" customWidth="1"/>
    <col min="5386" max="5386" width="11.85546875" style="1" customWidth="1"/>
    <col min="5387" max="5387" width="10.7109375" style="1" customWidth="1"/>
    <col min="5388" max="5388" width="10.5703125" style="1" customWidth="1"/>
    <col min="5389" max="5389" width="1.140625" style="1" customWidth="1"/>
    <col min="5390" max="5390" width="11.28515625" style="1" customWidth="1"/>
    <col min="5391" max="5391" width="12.7109375" style="1" customWidth="1"/>
    <col min="5392" max="5392" width="11.5703125" style="1" customWidth="1"/>
    <col min="5393" max="5393" width="12.42578125" style="1" customWidth="1"/>
    <col min="5394" max="5394" width="1.5703125" style="1" customWidth="1"/>
    <col min="5395" max="5395" width="11.42578125" style="1" customWidth="1"/>
    <col min="5396" max="5396" width="12.140625" style="1" customWidth="1"/>
    <col min="5397" max="5397" width="1.7109375" style="1" customWidth="1"/>
    <col min="5398" max="5398" width="13.5703125" style="1" customWidth="1"/>
    <col min="5399" max="5635" width="8.85546875" style="1"/>
    <col min="5636" max="5636" width="9.28515625" style="1" customWidth="1"/>
    <col min="5637" max="5637" width="1.7109375" style="1" customWidth="1"/>
    <col min="5638" max="5641" width="12" style="1" customWidth="1"/>
    <col min="5642" max="5642" width="11.85546875" style="1" customWidth="1"/>
    <col min="5643" max="5643" width="10.7109375" style="1" customWidth="1"/>
    <col min="5644" max="5644" width="10.5703125" style="1" customWidth="1"/>
    <col min="5645" max="5645" width="1.140625" style="1" customWidth="1"/>
    <col min="5646" max="5646" width="11.28515625" style="1" customWidth="1"/>
    <col min="5647" max="5647" width="12.7109375" style="1" customWidth="1"/>
    <col min="5648" max="5648" width="11.5703125" style="1" customWidth="1"/>
    <col min="5649" max="5649" width="12.42578125" style="1" customWidth="1"/>
    <col min="5650" max="5650" width="1.5703125" style="1" customWidth="1"/>
    <col min="5651" max="5651" width="11.42578125" style="1" customWidth="1"/>
    <col min="5652" max="5652" width="12.140625" style="1" customWidth="1"/>
    <col min="5653" max="5653" width="1.7109375" style="1" customWidth="1"/>
    <col min="5654" max="5654" width="13.5703125" style="1" customWidth="1"/>
    <col min="5655" max="5891" width="8.85546875" style="1"/>
    <col min="5892" max="5892" width="9.28515625" style="1" customWidth="1"/>
    <col min="5893" max="5893" width="1.7109375" style="1" customWidth="1"/>
    <col min="5894" max="5897" width="12" style="1" customWidth="1"/>
    <col min="5898" max="5898" width="11.85546875" style="1" customWidth="1"/>
    <col min="5899" max="5899" width="10.7109375" style="1" customWidth="1"/>
    <col min="5900" max="5900" width="10.5703125" style="1" customWidth="1"/>
    <col min="5901" max="5901" width="1.140625" style="1" customWidth="1"/>
    <col min="5902" max="5902" width="11.28515625" style="1" customWidth="1"/>
    <col min="5903" max="5903" width="12.7109375" style="1" customWidth="1"/>
    <col min="5904" max="5904" width="11.5703125" style="1" customWidth="1"/>
    <col min="5905" max="5905" width="12.42578125" style="1" customWidth="1"/>
    <col min="5906" max="5906" width="1.5703125" style="1" customWidth="1"/>
    <col min="5907" max="5907" width="11.42578125" style="1" customWidth="1"/>
    <col min="5908" max="5908" width="12.140625" style="1" customWidth="1"/>
    <col min="5909" max="5909" width="1.7109375" style="1" customWidth="1"/>
    <col min="5910" max="5910" width="13.5703125" style="1" customWidth="1"/>
    <col min="5911" max="6147" width="8.85546875" style="1"/>
    <col min="6148" max="6148" width="9.28515625" style="1" customWidth="1"/>
    <col min="6149" max="6149" width="1.7109375" style="1" customWidth="1"/>
    <col min="6150" max="6153" width="12" style="1" customWidth="1"/>
    <col min="6154" max="6154" width="11.85546875" style="1" customWidth="1"/>
    <col min="6155" max="6155" width="10.7109375" style="1" customWidth="1"/>
    <col min="6156" max="6156" width="10.5703125" style="1" customWidth="1"/>
    <col min="6157" max="6157" width="1.140625" style="1" customWidth="1"/>
    <col min="6158" max="6158" width="11.28515625" style="1" customWidth="1"/>
    <col min="6159" max="6159" width="12.7109375" style="1" customWidth="1"/>
    <col min="6160" max="6160" width="11.5703125" style="1" customWidth="1"/>
    <col min="6161" max="6161" width="12.42578125" style="1" customWidth="1"/>
    <col min="6162" max="6162" width="1.5703125" style="1" customWidth="1"/>
    <col min="6163" max="6163" width="11.42578125" style="1" customWidth="1"/>
    <col min="6164" max="6164" width="12.140625" style="1" customWidth="1"/>
    <col min="6165" max="6165" width="1.7109375" style="1" customWidth="1"/>
    <col min="6166" max="6166" width="13.5703125" style="1" customWidth="1"/>
    <col min="6167" max="6403" width="8.85546875" style="1"/>
    <col min="6404" max="6404" width="9.28515625" style="1" customWidth="1"/>
    <col min="6405" max="6405" width="1.7109375" style="1" customWidth="1"/>
    <col min="6406" max="6409" width="12" style="1" customWidth="1"/>
    <col min="6410" max="6410" width="11.85546875" style="1" customWidth="1"/>
    <col min="6411" max="6411" width="10.7109375" style="1" customWidth="1"/>
    <col min="6412" max="6412" width="10.5703125" style="1" customWidth="1"/>
    <col min="6413" max="6413" width="1.140625" style="1" customWidth="1"/>
    <col min="6414" max="6414" width="11.28515625" style="1" customWidth="1"/>
    <col min="6415" max="6415" width="12.7109375" style="1" customWidth="1"/>
    <col min="6416" max="6416" width="11.5703125" style="1" customWidth="1"/>
    <col min="6417" max="6417" width="12.42578125" style="1" customWidth="1"/>
    <col min="6418" max="6418" width="1.5703125" style="1" customWidth="1"/>
    <col min="6419" max="6419" width="11.42578125" style="1" customWidth="1"/>
    <col min="6420" max="6420" width="12.140625" style="1" customWidth="1"/>
    <col min="6421" max="6421" width="1.7109375" style="1" customWidth="1"/>
    <col min="6422" max="6422" width="13.5703125" style="1" customWidth="1"/>
    <col min="6423" max="6659" width="8.85546875" style="1"/>
    <col min="6660" max="6660" width="9.28515625" style="1" customWidth="1"/>
    <col min="6661" max="6661" width="1.7109375" style="1" customWidth="1"/>
    <col min="6662" max="6665" width="12" style="1" customWidth="1"/>
    <col min="6666" max="6666" width="11.85546875" style="1" customWidth="1"/>
    <col min="6667" max="6667" width="10.7109375" style="1" customWidth="1"/>
    <col min="6668" max="6668" width="10.5703125" style="1" customWidth="1"/>
    <col min="6669" max="6669" width="1.140625" style="1" customWidth="1"/>
    <col min="6670" max="6670" width="11.28515625" style="1" customWidth="1"/>
    <col min="6671" max="6671" width="12.7109375" style="1" customWidth="1"/>
    <col min="6672" max="6672" width="11.5703125" style="1" customWidth="1"/>
    <col min="6673" max="6673" width="12.42578125" style="1" customWidth="1"/>
    <col min="6674" max="6674" width="1.5703125" style="1" customWidth="1"/>
    <col min="6675" max="6675" width="11.42578125" style="1" customWidth="1"/>
    <col min="6676" max="6676" width="12.140625" style="1" customWidth="1"/>
    <col min="6677" max="6677" width="1.7109375" style="1" customWidth="1"/>
    <col min="6678" max="6678" width="13.5703125" style="1" customWidth="1"/>
    <col min="6679" max="6915" width="8.85546875" style="1"/>
    <col min="6916" max="6916" width="9.28515625" style="1" customWidth="1"/>
    <col min="6917" max="6917" width="1.7109375" style="1" customWidth="1"/>
    <col min="6918" max="6921" width="12" style="1" customWidth="1"/>
    <col min="6922" max="6922" width="11.85546875" style="1" customWidth="1"/>
    <col min="6923" max="6923" width="10.7109375" style="1" customWidth="1"/>
    <col min="6924" max="6924" width="10.5703125" style="1" customWidth="1"/>
    <col min="6925" max="6925" width="1.140625" style="1" customWidth="1"/>
    <col min="6926" max="6926" width="11.28515625" style="1" customWidth="1"/>
    <col min="6927" max="6927" width="12.7109375" style="1" customWidth="1"/>
    <col min="6928" max="6928" width="11.5703125" style="1" customWidth="1"/>
    <col min="6929" max="6929" width="12.42578125" style="1" customWidth="1"/>
    <col min="6930" max="6930" width="1.5703125" style="1" customWidth="1"/>
    <col min="6931" max="6931" width="11.42578125" style="1" customWidth="1"/>
    <col min="6932" max="6932" width="12.140625" style="1" customWidth="1"/>
    <col min="6933" max="6933" width="1.7109375" style="1" customWidth="1"/>
    <col min="6934" max="6934" width="13.5703125" style="1" customWidth="1"/>
    <col min="6935" max="7171" width="8.85546875" style="1"/>
    <col min="7172" max="7172" width="9.28515625" style="1" customWidth="1"/>
    <col min="7173" max="7173" width="1.7109375" style="1" customWidth="1"/>
    <col min="7174" max="7177" width="12" style="1" customWidth="1"/>
    <col min="7178" max="7178" width="11.85546875" style="1" customWidth="1"/>
    <col min="7179" max="7179" width="10.7109375" style="1" customWidth="1"/>
    <col min="7180" max="7180" width="10.5703125" style="1" customWidth="1"/>
    <col min="7181" max="7181" width="1.140625" style="1" customWidth="1"/>
    <col min="7182" max="7182" width="11.28515625" style="1" customWidth="1"/>
    <col min="7183" max="7183" width="12.7109375" style="1" customWidth="1"/>
    <col min="7184" max="7184" width="11.5703125" style="1" customWidth="1"/>
    <col min="7185" max="7185" width="12.42578125" style="1" customWidth="1"/>
    <col min="7186" max="7186" width="1.5703125" style="1" customWidth="1"/>
    <col min="7187" max="7187" width="11.42578125" style="1" customWidth="1"/>
    <col min="7188" max="7188" width="12.140625" style="1" customWidth="1"/>
    <col min="7189" max="7189" width="1.7109375" style="1" customWidth="1"/>
    <col min="7190" max="7190" width="13.5703125" style="1" customWidth="1"/>
    <col min="7191" max="7427" width="8.85546875" style="1"/>
    <col min="7428" max="7428" width="9.28515625" style="1" customWidth="1"/>
    <col min="7429" max="7429" width="1.7109375" style="1" customWidth="1"/>
    <col min="7430" max="7433" width="12" style="1" customWidth="1"/>
    <col min="7434" max="7434" width="11.85546875" style="1" customWidth="1"/>
    <col min="7435" max="7435" width="10.7109375" style="1" customWidth="1"/>
    <col min="7436" max="7436" width="10.5703125" style="1" customWidth="1"/>
    <col min="7437" max="7437" width="1.140625" style="1" customWidth="1"/>
    <col min="7438" max="7438" width="11.28515625" style="1" customWidth="1"/>
    <col min="7439" max="7439" width="12.7109375" style="1" customWidth="1"/>
    <col min="7440" max="7440" width="11.5703125" style="1" customWidth="1"/>
    <col min="7441" max="7441" width="12.42578125" style="1" customWidth="1"/>
    <col min="7442" max="7442" width="1.5703125" style="1" customWidth="1"/>
    <col min="7443" max="7443" width="11.42578125" style="1" customWidth="1"/>
    <col min="7444" max="7444" width="12.140625" style="1" customWidth="1"/>
    <col min="7445" max="7445" width="1.7109375" style="1" customWidth="1"/>
    <col min="7446" max="7446" width="13.5703125" style="1" customWidth="1"/>
    <col min="7447" max="7683" width="8.85546875" style="1"/>
    <col min="7684" max="7684" width="9.28515625" style="1" customWidth="1"/>
    <col min="7685" max="7685" width="1.7109375" style="1" customWidth="1"/>
    <col min="7686" max="7689" width="12" style="1" customWidth="1"/>
    <col min="7690" max="7690" width="11.85546875" style="1" customWidth="1"/>
    <col min="7691" max="7691" width="10.7109375" style="1" customWidth="1"/>
    <col min="7692" max="7692" width="10.5703125" style="1" customWidth="1"/>
    <col min="7693" max="7693" width="1.140625" style="1" customWidth="1"/>
    <col min="7694" max="7694" width="11.28515625" style="1" customWidth="1"/>
    <col min="7695" max="7695" width="12.7109375" style="1" customWidth="1"/>
    <col min="7696" max="7696" width="11.5703125" style="1" customWidth="1"/>
    <col min="7697" max="7697" width="12.42578125" style="1" customWidth="1"/>
    <col min="7698" max="7698" width="1.5703125" style="1" customWidth="1"/>
    <col min="7699" max="7699" width="11.42578125" style="1" customWidth="1"/>
    <col min="7700" max="7700" width="12.140625" style="1" customWidth="1"/>
    <col min="7701" max="7701" width="1.7109375" style="1" customWidth="1"/>
    <col min="7702" max="7702" width="13.5703125" style="1" customWidth="1"/>
    <col min="7703" max="7939" width="8.85546875" style="1"/>
    <col min="7940" max="7940" width="9.28515625" style="1" customWidth="1"/>
    <col min="7941" max="7941" width="1.7109375" style="1" customWidth="1"/>
    <col min="7942" max="7945" width="12" style="1" customWidth="1"/>
    <col min="7946" max="7946" width="11.85546875" style="1" customWidth="1"/>
    <col min="7947" max="7947" width="10.7109375" style="1" customWidth="1"/>
    <col min="7948" max="7948" width="10.5703125" style="1" customWidth="1"/>
    <col min="7949" max="7949" width="1.140625" style="1" customWidth="1"/>
    <col min="7950" max="7950" width="11.28515625" style="1" customWidth="1"/>
    <col min="7951" max="7951" width="12.7109375" style="1" customWidth="1"/>
    <col min="7952" max="7952" width="11.5703125" style="1" customWidth="1"/>
    <col min="7953" max="7953" width="12.42578125" style="1" customWidth="1"/>
    <col min="7954" max="7954" width="1.5703125" style="1" customWidth="1"/>
    <col min="7955" max="7955" width="11.42578125" style="1" customWidth="1"/>
    <col min="7956" max="7956" width="12.140625" style="1" customWidth="1"/>
    <col min="7957" max="7957" width="1.7109375" style="1" customWidth="1"/>
    <col min="7958" max="7958" width="13.5703125" style="1" customWidth="1"/>
    <col min="7959" max="8195" width="8.85546875" style="1"/>
    <col min="8196" max="8196" width="9.28515625" style="1" customWidth="1"/>
    <col min="8197" max="8197" width="1.7109375" style="1" customWidth="1"/>
    <col min="8198" max="8201" width="12" style="1" customWidth="1"/>
    <col min="8202" max="8202" width="11.85546875" style="1" customWidth="1"/>
    <col min="8203" max="8203" width="10.7109375" style="1" customWidth="1"/>
    <col min="8204" max="8204" width="10.5703125" style="1" customWidth="1"/>
    <col min="8205" max="8205" width="1.140625" style="1" customWidth="1"/>
    <col min="8206" max="8206" width="11.28515625" style="1" customWidth="1"/>
    <col min="8207" max="8207" width="12.7109375" style="1" customWidth="1"/>
    <col min="8208" max="8208" width="11.5703125" style="1" customWidth="1"/>
    <col min="8209" max="8209" width="12.42578125" style="1" customWidth="1"/>
    <col min="8210" max="8210" width="1.5703125" style="1" customWidth="1"/>
    <col min="8211" max="8211" width="11.42578125" style="1" customWidth="1"/>
    <col min="8212" max="8212" width="12.140625" style="1" customWidth="1"/>
    <col min="8213" max="8213" width="1.7109375" style="1" customWidth="1"/>
    <col min="8214" max="8214" width="13.5703125" style="1" customWidth="1"/>
    <col min="8215" max="8451" width="8.85546875" style="1"/>
    <col min="8452" max="8452" width="9.28515625" style="1" customWidth="1"/>
    <col min="8453" max="8453" width="1.7109375" style="1" customWidth="1"/>
    <col min="8454" max="8457" width="12" style="1" customWidth="1"/>
    <col min="8458" max="8458" width="11.85546875" style="1" customWidth="1"/>
    <col min="8459" max="8459" width="10.7109375" style="1" customWidth="1"/>
    <col min="8460" max="8460" width="10.5703125" style="1" customWidth="1"/>
    <col min="8461" max="8461" width="1.140625" style="1" customWidth="1"/>
    <col min="8462" max="8462" width="11.28515625" style="1" customWidth="1"/>
    <col min="8463" max="8463" width="12.7109375" style="1" customWidth="1"/>
    <col min="8464" max="8464" width="11.5703125" style="1" customWidth="1"/>
    <col min="8465" max="8465" width="12.42578125" style="1" customWidth="1"/>
    <col min="8466" max="8466" width="1.5703125" style="1" customWidth="1"/>
    <col min="8467" max="8467" width="11.42578125" style="1" customWidth="1"/>
    <col min="8468" max="8468" width="12.140625" style="1" customWidth="1"/>
    <col min="8469" max="8469" width="1.7109375" style="1" customWidth="1"/>
    <col min="8470" max="8470" width="13.5703125" style="1" customWidth="1"/>
    <col min="8471" max="8707" width="8.85546875" style="1"/>
    <col min="8708" max="8708" width="9.28515625" style="1" customWidth="1"/>
    <col min="8709" max="8709" width="1.7109375" style="1" customWidth="1"/>
    <col min="8710" max="8713" width="12" style="1" customWidth="1"/>
    <col min="8714" max="8714" width="11.85546875" style="1" customWidth="1"/>
    <col min="8715" max="8715" width="10.7109375" style="1" customWidth="1"/>
    <col min="8716" max="8716" width="10.5703125" style="1" customWidth="1"/>
    <col min="8717" max="8717" width="1.140625" style="1" customWidth="1"/>
    <col min="8718" max="8718" width="11.28515625" style="1" customWidth="1"/>
    <col min="8719" max="8719" width="12.7109375" style="1" customWidth="1"/>
    <col min="8720" max="8720" width="11.5703125" style="1" customWidth="1"/>
    <col min="8721" max="8721" width="12.42578125" style="1" customWidth="1"/>
    <col min="8722" max="8722" width="1.5703125" style="1" customWidth="1"/>
    <col min="8723" max="8723" width="11.42578125" style="1" customWidth="1"/>
    <col min="8724" max="8724" width="12.140625" style="1" customWidth="1"/>
    <col min="8725" max="8725" width="1.7109375" style="1" customWidth="1"/>
    <col min="8726" max="8726" width="13.5703125" style="1" customWidth="1"/>
    <col min="8727" max="8963" width="8.85546875" style="1"/>
    <col min="8964" max="8964" width="9.28515625" style="1" customWidth="1"/>
    <col min="8965" max="8965" width="1.7109375" style="1" customWidth="1"/>
    <col min="8966" max="8969" width="12" style="1" customWidth="1"/>
    <col min="8970" max="8970" width="11.85546875" style="1" customWidth="1"/>
    <col min="8971" max="8971" width="10.7109375" style="1" customWidth="1"/>
    <col min="8972" max="8972" width="10.5703125" style="1" customWidth="1"/>
    <col min="8973" max="8973" width="1.140625" style="1" customWidth="1"/>
    <col min="8974" max="8974" width="11.28515625" style="1" customWidth="1"/>
    <col min="8975" max="8975" width="12.7109375" style="1" customWidth="1"/>
    <col min="8976" max="8976" width="11.5703125" style="1" customWidth="1"/>
    <col min="8977" max="8977" width="12.42578125" style="1" customWidth="1"/>
    <col min="8978" max="8978" width="1.5703125" style="1" customWidth="1"/>
    <col min="8979" max="8979" width="11.42578125" style="1" customWidth="1"/>
    <col min="8980" max="8980" width="12.140625" style="1" customWidth="1"/>
    <col min="8981" max="8981" width="1.7109375" style="1" customWidth="1"/>
    <col min="8982" max="8982" width="13.5703125" style="1" customWidth="1"/>
    <col min="8983" max="9219" width="8.85546875" style="1"/>
    <col min="9220" max="9220" width="9.28515625" style="1" customWidth="1"/>
    <col min="9221" max="9221" width="1.7109375" style="1" customWidth="1"/>
    <col min="9222" max="9225" width="12" style="1" customWidth="1"/>
    <col min="9226" max="9226" width="11.85546875" style="1" customWidth="1"/>
    <col min="9227" max="9227" width="10.7109375" style="1" customWidth="1"/>
    <col min="9228" max="9228" width="10.5703125" style="1" customWidth="1"/>
    <col min="9229" max="9229" width="1.140625" style="1" customWidth="1"/>
    <col min="9230" max="9230" width="11.28515625" style="1" customWidth="1"/>
    <col min="9231" max="9231" width="12.7109375" style="1" customWidth="1"/>
    <col min="9232" max="9232" width="11.5703125" style="1" customWidth="1"/>
    <col min="9233" max="9233" width="12.42578125" style="1" customWidth="1"/>
    <col min="9234" max="9234" width="1.5703125" style="1" customWidth="1"/>
    <col min="9235" max="9235" width="11.42578125" style="1" customWidth="1"/>
    <col min="9236" max="9236" width="12.140625" style="1" customWidth="1"/>
    <col min="9237" max="9237" width="1.7109375" style="1" customWidth="1"/>
    <col min="9238" max="9238" width="13.5703125" style="1" customWidth="1"/>
    <col min="9239" max="9475" width="8.85546875" style="1"/>
    <col min="9476" max="9476" width="9.28515625" style="1" customWidth="1"/>
    <col min="9477" max="9477" width="1.7109375" style="1" customWidth="1"/>
    <col min="9478" max="9481" width="12" style="1" customWidth="1"/>
    <col min="9482" max="9482" width="11.85546875" style="1" customWidth="1"/>
    <col min="9483" max="9483" width="10.7109375" style="1" customWidth="1"/>
    <col min="9484" max="9484" width="10.5703125" style="1" customWidth="1"/>
    <col min="9485" max="9485" width="1.140625" style="1" customWidth="1"/>
    <col min="9486" max="9486" width="11.28515625" style="1" customWidth="1"/>
    <col min="9487" max="9487" width="12.7109375" style="1" customWidth="1"/>
    <col min="9488" max="9488" width="11.5703125" style="1" customWidth="1"/>
    <col min="9489" max="9489" width="12.42578125" style="1" customWidth="1"/>
    <col min="9490" max="9490" width="1.5703125" style="1" customWidth="1"/>
    <col min="9491" max="9491" width="11.42578125" style="1" customWidth="1"/>
    <col min="9492" max="9492" width="12.140625" style="1" customWidth="1"/>
    <col min="9493" max="9493" width="1.7109375" style="1" customWidth="1"/>
    <col min="9494" max="9494" width="13.5703125" style="1" customWidth="1"/>
    <col min="9495" max="9731" width="8.85546875" style="1"/>
    <col min="9732" max="9732" width="9.28515625" style="1" customWidth="1"/>
    <col min="9733" max="9733" width="1.7109375" style="1" customWidth="1"/>
    <col min="9734" max="9737" width="12" style="1" customWidth="1"/>
    <col min="9738" max="9738" width="11.85546875" style="1" customWidth="1"/>
    <col min="9739" max="9739" width="10.7109375" style="1" customWidth="1"/>
    <col min="9740" max="9740" width="10.5703125" style="1" customWidth="1"/>
    <col min="9741" max="9741" width="1.140625" style="1" customWidth="1"/>
    <col min="9742" max="9742" width="11.28515625" style="1" customWidth="1"/>
    <col min="9743" max="9743" width="12.7109375" style="1" customWidth="1"/>
    <col min="9744" max="9744" width="11.5703125" style="1" customWidth="1"/>
    <col min="9745" max="9745" width="12.42578125" style="1" customWidth="1"/>
    <col min="9746" max="9746" width="1.5703125" style="1" customWidth="1"/>
    <col min="9747" max="9747" width="11.42578125" style="1" customWidth="1"/>
    <col min="9748" max="9748" width="12.140625" style="1" customWidth="1"/>
    <col min="9749" max="9749" width="1.7109375" style="1" customWidth="1"/>
    <col min="9750" max="9750" width="13.5703125" style="1" customWidth="1"/>
    <col min="9751" max="9987" width="8.85546875" style="1"/>
    <col min="9988" max="9988" width="9.28515625" style="1" customWidth="1"/>
    <col min="9989" max="9989" width="1.7109375" style="1" customWidth="1"/>
    <col min="9990" max="9993" width="12" style="1" customWidth="1"/>
    <col min="9994" max="9994" width="11.85546875" style="1" customWidth="1"/>
    <col min="9995" max="9995" width="10.7109375" style="1" customWidth="1"/>
    <col min="9996" max="9996" width="10.5703125" style="1" customWidth="1"/>
    <col min="9997" max="9997" width="1.140625" style="1" customWidth="1"/>
    <col min="9998" max="9998" width="11.28515625" style="1" customWidth="1"/>
    <col min="9999" max="9999" width="12.7109375" style="1" customWidth="1"/>
    <col min="10000" max="10000" width="11.5703125" style="1" customWidth="1"/>
    <col min="10001" max="10001" width="12.42578125" style="1" customWidth="1"/>
    <col min="10002" max="10002" width="1.5703125" style="1" customWidth="1"/>
    <col min="10003" max="10003" width="11.42578125" style="1" customWidth="1"/>
    <col min="10004" max="10004" width="12.140625" style="1" customWidth="1"/>
    <col min="10005" max="10005" width="1.7109375" style="1" customWidth="1"/>
    <col min="10006" max="10006" width="13.5703125" style="1" customWidth="1"/>
    <col min="10007" max="10243" width="8.85546875" style="1"/>
    <col min="10244" max="10244" width="9.28515625" style="1" customWidth="1"/>
    <col min="10245" max="10245" width="1.7109375" style="1" customWidth="1"/>
    <col min="10246" max="10249" width="12" style="1" customWidth="1"/>
    <col min="10250" max="10250" width="11.85546875" style="1" customWidth="1"/>
    <col min="10251" max="10251" width="10.7109375" style="1" customWidth="1"/>
    <col min="10252" max="10252" width="10.5703125" style="1" customWidth="1"/>
    <col min="10253" max="10253" width="1.140625" style="1" customWidth="1"/>
    <col min="10254" max="10254" width="11.28515625" style="1" customWidth="1"/>
    <col min="10255" max="10255" width="12.7109375" style="1" customWidth="1"/>
    <col min="10256" max="10256" width="11.5703125" style="1" customWidth="1"/>
    <col min="10257" max="10257" width="12.42578125" style="1" customWidth="1"/>
    <col min="10258" max="10258" width="1.5703125" style="1" customWidth="1"/>
    <col min="10259" max="10259" width="11.42578125" style="1" customWidth="1"/>
    <col min="10260" max="10260" width="12.140625" style="1" customWidth="1"/>
    <col min="10261" max="10261" width="1.7109375" style="1" customWidth="1"/>
    <col min="10262" max="10262" width="13.5703125" style="1" customWidth="1"/>
    <col min="10263" max="10499" width="8.85546875" style="1"/>
    <col min="10500" max="10500" width="9.28515625" style="1" customWidth="1"/>
    <col min="10501" max="10501" width="1.7109375" style="1" customWidth="1"/>
    <col min="10502" max="10505" width="12" style="1" customWidth="1"/>
    <col min="10506" max="10506" width="11.85546875" style="1" customWidth="1"/>
    <col min="10507" max="10507" width="10.7109375" style="1" customWidth="1"/>
    <col min="10508" max="10508" width="10.5703125" style="1" customWidth="1"/>
    <col min="10509" max="10509" width="1.140625" style="1" customWidth="1"/>
    <col min="10510" max="10510" width="11.28515625" style="1" customWidth="1"/>
    <col min="10511" max="10511" width="12.7109375" style="1" customWidth="1"/>
    <col min="10512" max="10512" width="11.5703125" style="1" customWidth="1"/>
    <col min="10513" max="10513" width="12.42578125" style="1" customWidth="1"/>
    <col min="10514" max="10514" width="1.5703125" style="1" customWidth="1"/>
    <col min="10515" max="10515" width="11.42578125" style="1" customWidth="1"/>
    <col min="10516" max="10516" width="12.140625" style="1" customWidth="1"/>
    <col min="10517" max="10517" width="1.7109375" style="1" customWidth="1"/>
    <col min="10518" max="10518" width="13.5703125" style="1" customWidth="1"/>
    <col min="10519" max="10755" width="8.85546875" style="1"/>
    <col min="10756" max="10756" width="9.28515625" style="1" customWidth="1"/>
    <col min="10757" max="10757" width="1.7109375" style="1" customWidth="1"/>
    <col min="10758" max="10761" width="12" style="1" customWidth="1"/>
    <col min="10762" max="10762" width="11.85546875" style="1" customWidth="1"/>
    <col min="10763" max="10763" width="10.7109375" style="1" customWidth="1"/>
    <col min="10764" max="10764" width="10.5703125" style="1" customWidth="1"/>
    <col min="10765" max="10765" width="1.140625" style="1" customWidth="1"/>
    <col min="10766" max="10766" width="11.28515625" style="1" customWidth="1"/>
    <col min="10767" max="10767" width="12.7109375" style="1" customWidth="1"/>
    <col min="10768" max="10768" width="11.5703125" style="1" customWidth="1"/>
    <col min="10769" max="10769" width="12.42578125" style="1" customWidth="1"/>
    <col min="10770" max="10770" width="1.5703125" style="1" customWidth="1"/>
    <col min="10771" max="10771" width="11.42578125" style="1" customWidth="1"/>
    <col min="10772" max="10772" width="12.140625" style="1" customWidth="1"/>
    <col min="10773" max="10773" width="1.7109375" style="1" customWidth="1"/>
    <col min="10774" max="10774" width="13.5703125" style="1" customWidth="1"/>
    <col min="10775" max="11011" width="8.85546875" style="1"/>
    <col min="11012" max="11012" width="9.28515625" style="1" customWidth="1"/>
    <col min="11013" max="11013" width="1.7109375" style="1" customWidth="1"/>
    <col min="11014" max="11017" width="12" style="1" customWidth="1"/>
    <col min="11018" max="11018" width="11.85546875" style="1" customWidth="1"/>
    <col min="11019" max="11019" width="10.7109375" style="1" customWidth="1"/>
    <col min="11020" max="11020" width="10.5703125" style="1" customWidth="1"/>
    <col min="11021" max="11021" width="1.140625" style="1" customWidth="1"/>
    <col min="11022" max="11022" width="11.28515625" style="1" customWidth="1"/>
    <col min="11023" max="11023" width="12.7109375" style="1" customWidth="1"/>
    <col min="11024" max="11024" width="11.5703125" style="1" customWidth="1"/>
    <col min="11025" max="11025" width="12.42578125" style="1" customWidth="1"/>
    <col min="11026" max="11026" width="1.5703125" style="1" customWidth="1"/>
    <col min="11027" max="11027" width="11.42578125" style="1" customWidth="1"/>
    <col min="11028" max="11028" width="12.140625" style="1" customWidth="1"/>
    <col min="11029" max="11029" width="1.7109375" style="1" customWidth="1"/>
    <col min="11030" max="11030" width="13.5703125" style="1" customWidth="1"/>
    <col min="11031" max="11267" width="8.85546875" style="1"/>
    <col min="11268" max="11268" width="9.28515625" style="1" customWidth="1"/>
    <col min="11269" max="11269" width="1.7109375" style="1" customWidth="1"/>
    <col min="11270" max="11273" width="12" style="1" customWidth="1"/>
    <col min="11274" max="11274" width="11.85546875" style="1" customWidth="1"/>
    <col min="11275" max="11275" width="10.7109375" style="1" customWidth="1"/>
    <col min="11276" max="11276" width="10.5703125" style="1" customWidth="1"/>
    <col min="11277" max="11277" width="1.140625" style="1" customWidth="1"/>
    <col min="11278" max="11278" width="11.28515625" style="1" customWidth="1"/>
    <col min="11279" max="11279" width="12.7109375" style="1" customWidth="1"/>
    <col min="11280" max="11280" width="11.5703125" style="1" customWidth="1"/>
    <col min="11281" max="11281" width="12.42578125" style="1" customWidth="1"/>
    <col min="11282" max="11282" width="1.5703125" style="1" customWidth="1"/>
    <col min="11283" max="11283" width="11.42578125" style="1" customWidth="1"/>
    <col min="11284" max="11284" width="12.140625" style="1" customWidth="1"/>
    <col min="11285" max="11285" width="1.7109375" style="1" customWidth="1"/>
    <col min="11286" max="11286" width="13.5703125" style="1" customWidth="1"/>
    <col min="11287" max="11523" width="8.85546875" style="1"/>
    <col min="11524" max="11524" width="9.28515625" style="1" customWidth="1"/>
    <col min="11525" max="11525" width="1.7109375" style="1" customWidth="1"/>
    <col min="11526" max="11529" width="12" style="1" customWidth="1"/>
    <col min="11530" max="11530" width="11.85546875" style="1" customWidth="1"/>
    <col min="11531" max="11531" width="10.7109375" style="1" customWidth="1"/>
    <col min="11532" max="11532" width="10.5703125" style="1" customWidth="1"/>
    <col min="11533" max="11533" width="1.140625" style="1" customWidth="1"/>
    <col min="11534" max="11534" width="11.28515625" style="1" customWidth="1"/>
    <col min="11535" max="11535" width="12.7109375" style="1" customWidth="1"/>
    <col min="11536" max="11536" width="11.5703125" style="1" customWidth="1"/>
    <col min="11537" max="11537" width="12.42578125" style="1" customWidth="1"/>
    <col min="11538" max="11538" width="1.5703125" style="1" customWidth="1"/>
    <col min="11539" max="11539" width="11.42578125" style="1" customWidth="1"/>
    <col min="11540" max="11540" width="12.140625" style="1" customWidth="1"/>
    <col min="11541" max="11541" width="1.7109375" style="1" customWidth="1"/>
    <col min="11542" max="11542" width="13.5703125" style="1" customWidth="1"/>
    <col min="11543" max="11779" width="8.85546875" style="1"/>
    <col min="11780" max="11780" width="9.28515625" style="1" customWidth="1"/>
    <col min="11781" max="11781" width="1.7109375" style="1" customWidth="1"/>
    <col min="11782" max="11785" width="12" style="1" customWidth="1"/>
    <col min="11786" max="11786" width="11.85546875" style="1" customWidth="1"/>
    <col min="11787" max="11787" width="10.7109375" style="1" customWidth="1"/>
    <col min="11788" max="11788" width="10.5703125" style="1" customWidth="1"/>
    <col min="11789" max="11789" width="1.140625" style="1" customWidth="1"/>
    <col min="11790" max="11790" width="11.28515625" style="1" customWidth="1"/>
    <col min="11791" max="11791" width="12.7109375" style="1" customWidth="1"/>
    <col min="11792" max="11792" width="11.5703125" style="1" customWidth="1"/>
    <col min="11793" max="11793" width="12.42578125" style="1" customWidth="1"/>
    <col min="11794" max="11794" width="1.5703125" style="1" customWidth="1"/>
    <col min="11795" max="11795" width="11.42578125" style="1" customWidth="1"/>
    <col min="11796" max="11796" width="12.140625" style="1" customWidth="1"/>
    <col min="11797" max="11797" width="1.7109375" style="1" customWidth="1"/>
    <col min="11798" max="11798" width="13.5703125" style="1" customWidth="1"/>
    <col min="11799" max="12035" width="8.85546875" style="1"/>
    <col min="12036" max="12036" width="9.28515625" style="1" customWidth="1"/>
    <col min="12037" max="12037" width="1.7109375" style="1" customWidth="1"/>
    <col min="12038" max="12041" width="12" style="1" customWidth="1"/>
    <col min="12042" max="12042" width="11.85546875" style="1" customWidth="1"/>
    <col min="12043" max="12043" width="10.7109375" style="1" customWidth="1"/>
    <col min="12044" max="12044" width="10.5703125" style="1" customWidth="1"/>
    <col min="12045" max="12045" width="1.140625" style="1" customWidth="1"/>
    <col min="12046" max="12046" width="11.28515625" style="1" customWidth="1"/>
    <col min="12047" max="12047" width="12.7109375" style="1" customWidth="1"/>
    <col min="12048" max="12048" width="11.5703125" style="1" customWidth="1"/>
    <col min="12049" max="12049" width="12.42578125" style="1" customWidth="1"/>
    <col min="12050" max="12050" width="1.5703125" style="1" customWidth="1"/>
    <col min="12051" max="12051" width="11.42578125" style="1" customWidth="1"/>
    <col min="12052" max="12052" width="12.140625" style="1" customWidth="1"/>
    <col min="12053" max="12053" width="1.7109375" style="1" customWidth="1"/>
    <col min="12054" max="12054" width="13.5703125" style="1" customWidth="1"/>
    <col min="12055" max="12291" width="8.85546875" style="1"/>
    <col min="12292" max="12292" width="9.28515625" style="1" customWidth="1"/>
    <col min="12293" max="12293" width="1.7109375" style="1" customWidth="1"/>
    <col min="12294" max="12297" width="12" style="1" customWidth="1"/>
    <col min="12298" max="12298" width="11.85546875" style="1" customWidth="1"/>
    <col min="12299" max="12299" width="10.7109375" style="1" customWidth="1"/>
    <col min="12300" max="12300" width="10.5703125" style="1" customWidth="1"/>
    <col min="12301" max="12301" width="1.140625" style="1" customWidth="1"/>
    <col min="12302" max="12302" width="11.28515625" style="1" customWidth="1"/>
    <col min="12303" max="12303" width="12.7109375" style="1" customWidth="1"/>
    <col min="12304" max="12304" width="11.5703125" style="1" customWidth="1"/>
    <col min="12305" max="12305" width="12.42578125" style="1" customWidth="1"/>
    <col min="12306" max="12306" width="1.5703125" style="1" customWidth="1"/>
    <col min="12307" max="12307" width="11.42578125" style="1" customWidth="1"/>
    <col min="12308" max="12308" width="12.140625" style="1" customWidth="1"/>
    <col min="12309" max="12309" width="1.7109375" style="1" customWidth="1"/>
    <col min="12310" max="12310" width="13.5703125" style="1" customWidth="1"/>
    <col min="12311" max="12547" width="8.85546875" style="1"/>
    <col min="12548" max="12548" width="9.28515625" style="1" customWidth="1"/>
    <col min="12549" max="12549" width="1.7109375" style="1" customWidth="1"/>
    <col min="12550" max="12553" width="12" style="1" customWidth="1"/>
    <col min="12554" max="12554" width="11.85546875" style="1" customWidth="1"/>
    <col min="12555" max="12555" width="10.7109375" style="1" customWidth="1"/>
    <col min="12556" max="12556" width="10.5703125" style="1" customWidth="1"/>
    <col min="12557" max="12557" width="1.140625" style="1" customWidth="1"/>
    <col min="12558" max="12558" width="11.28515625" style="1" customWidth="1"/>
    <col min="12559" max="12559" width="12.7109375" style="1" customWidth="1"/>
    <col min="12560" max="12560" width="11.5703125" style="1" customWidth="1"/>
    <col min="12561" max="12561" width="12.42578125" style="1" customWidth="1"/>
    <col min="12562" max="12562" width="1.5703125" style="1" customWidth="1"/>
    <col min="12563" max="12563" width="11.42578125" style="1" customWidth="1"/>
    <col min="12564" max="12564" width="12.140625" style="1" customWidth="1"/>
    <col min="12565" max="12565" width="1.7109375" style="1" customWidth="1"/>
    <col min="12566" max="12566" width="13.5703125" style="1" customWidth="1"/>
    <col min="12567" max="12803" width="8.85546875" style="1"/>
    <col min="12804" max="12804" width="9.28515625" style="1" customWidth="1"/>
    <col min="12805" max="12805" width="1.7109375" style="1" customWidth="1"/>
    <col min="12806" max="12809" width="12" style="1" customWidth="1"/>
    <col min="12810" max="12810" width="11.85546875" style="1" customWidth="1"/>
    <col min="12811" max="12811" width="10.7109375" style="1" customWidth="1"/>
    <col min="12812" max="12812" width="10.5703125" style="1" customWidth="1"/>
    <col min="12813" max="12813" width="1.140625" style="1" customWidth="1"/>
    <col min="12814" max="12814" width="11.28515625" style="1" customWidth="1"/>
    <col min="12815" max="12815" width="12.7109375" style="1" customWidth="1"/>
    <col min="12816" max="12816" width="11.5703125" style="1" customWidth="1"/>
    <col min="12817" max="12817" width="12.42578125" style="1" customWidth="1"/>
    <col min="12818" max="12818" width="1.5703125" style="1" customWidth="1"/>
    <col min="12819" max="12819" width="11.42578125" style="1" customWidth="1"/>
    <col min="12820" max="12820" width="12.140625" style="1" customWidth="1"/>
    <col min="12821" max="12821" width="1.7109375" style="1" customWidth="1"/>
    <col min="12822" max="12822" width="13.5703125" style="1" customWidth="1"/>
    <col min="12823" max="13059" width="8.85546875" style="1"/>
    <col min="13060" max="13060" width="9.28515625" style="1" customWidth="1"/>
    <col min="13061" max="13061" width="1.7109375" style="1" customWidth="1"/>
    <col min="13062" max="13065" width="12" style="1" customWidth="1"/>
    <col min="13066" max="13066" width="11.85546875" style="1" customWidth="1"/>
    <col min="13067" max="13067" width="10.7109375" style="1" customWidth="1"/>
    <col min="13068" max="13068" width="10.5703125" style="1" customWidth="1"/>
    <col min="13069" max="13069" width="1.140625" style="1" customWidth="1"/>
    <col min="13070" max="13070" width="11.28515625" style="1" customWidth="1"/>
    <col min="13071" max="13071" width="12.7109375" style="1" customWidth="1"/>
    <col min="13072" max="13072" width="11.5703125" style="1" customWidth="1"/>
    <col min="13073" max="13073" width="12.42578125" style="1" customWidth="1"/>
    <col min="13074" max="13074" width="1.5703125" style="1" customWidth="1"/>
    <col min="13075" max="13075" width="11.42578125" style="1" customWidth="1"/>
    <col min="13076" max="13076" width="12.140625" style="1" customWidth="1"/>
    <col min="13077" max="13077" width="1.7109375" style="1" customWidth="1"/>
    <col min="13078" max="13078" width="13.5703125" style="1" customWidth="1"/>
    <col min="13079" max="13315" width="8.85546875" style="1"/>
    <col min="13316" max="13316" width="9.28515625" style="1" customWidth="1"/>
    <col min="13317" max="13317" width="1.7109375" style="1" customWidth="1"/>
    <col min="13318" max="13321" width="12" style="1" customWidth="1"/>
    <col min="13322" max="13322" width="11.85546875" style="1" customWidth="1"/>
    <col min="13323" max="13323" width="10.7109375" style="1" customWidth="1"/>
    <col min="13324" max="13324" width="10.5703125" style="1" customWidth="1"/>
    <col min="13325" max="13325" width="1.140625" style="1" customWidth="1"/>
    <col min="13326" max="13326" width="11.28515625" style="1" customWidth="1"/>
    <col min="13327" max="13327" width="12.7109375" style="1" customWidth="1"/>
    <col min="13328" max="13328" width="11.5703125" style="1" customWidth="1"/>
    <col min="13329" max="13329" width="12.42578125" style="1" customWidth="1"/>
    <col min="13330" max="13330" width="1.5703125" style="1" customWidth="1"/>
    <col min="13331" max="13331" width="11.42578125" style="1" customWidth="1"/>
    <col min="13332" max="13332" width="12.140625" style="1" customWidth="1"/>
    <col min="13333" max="13333" width="1.7109375" style="1" customWidth="1"/>
    <col min="13334" max="13334" width="13.5703125" style="1" customWidth="1"/>
    <col min="13335" max="13571" width="8.85546875" style="1"/>
    <col min="13572" max="13572" width="9.28515625" style="1" customWidth="1"/>
    <col min="13573" max="13573" width="1.7109375" style="1" customWidth="1"/>
    <col min="13574" max="13577" width="12" style="1" customWidth="1"/>
    <col min="13578" max="13578" width="11.85546875" style="1" customWidth="1"/>
    <col min="13579" max="13579" width="10.7109375" style="1" customWidth="1"/>
    <col min="13580" max="13580" width="10.5703125" style="1" customWidth="1"/>
    <col min="13581" max="13581" width="1.140625" style="1" customWidth="1"/>
    <col min="13582" max="13582" width="11.28515625" style="1" customWidth="1"/>
    <col min="13583" max="13583" width="12.7109375" style="1" customWidth="1"/>
    <col min="13584" max="13584" width="11.5703125" style="1" customWidth="1"/>
    <col min="13585" max="13585" width="12.42578125" style="1" customWidth="1"/>
    <col min="13586" max="13586" width="1.5703125" style="1" customWidth="1"/>
    <col min="13587" max="13587" width="11.42578125" style="1" customWidth="1"/>
    <col min="13588" max="13588" width="12.140625" style="1" customWidth="1"/>
    <col min="13589" max="13589" width="1.7109375" style="1" customWidth="1"/>
    <col min="13590" max="13590" width="13.5703125" style="1" customWidth="1"/>
    <col min="13591" max="13827" width="8.85546875" style="1"/>
    <col min="13828" max="13828" width="9.28515625" style="1" customWidth="1"/>
    <col min="13829" max="13829" width="1.7109375" style="1" customWidth="1"/>
    <col min="13830" max="13833" width="12" style="1" customWidth="1"/>
    <col min="13834" max="13834" width="11.85546875" style="1" customWidth="1"/>
    <col min="13835" max="13835" width="10.7109375" style="1" customWidth="1"/>
    <col min="13836" max="13836" width="10.5703125" style="1" customWidth="1"/>
    <col min="13837" max="13837" width="1.140625" style="1" customWidth="1"/>
    <col min="13838" max="13838" width="11.28515625" style="1" customWidth="1"/>
    <col min="13839" max="13839" width="12.7109375" style="1" customWidth="1"/>
    <col min="13840" max="13840" width="11.5703125" style="1" customWidth="1"/>
    <col min="13841" max="13841" width="12.42578125" style="1" customWidth="1"/>
    <col min="13842" max="13842" width="1.5703125" style="1" customWidth="1"/>
    <col min="13843" max="13843" width="11.42578125" style="1" customWidth="1"/>
    <col min="13844" max="13844" width="12.140625" style="1" customWidth="1"/>
    <col min="13845" max="13845" width="1.7109375" style="1" customWidth="1"/>
    <col min="13846" max="13846" width="13.5703125" style="1" customWidth="1"/>
    <col min="13847" max="14083" width="8.85546875" style="1"/>
    <col min="14084" max="14084" width="9.28515625" style="1" customWidth="1"/>
    <col min="14085" max="14085" width="1.7109375" style="1" customWidth="1"/>
    <col min="14086" max="14089" width="12" style="1" customWidth="1"/>
    <col min="14090" max="14090" width="11.85546875" style="1" customWidth="1"/>
    <col min="14091" max="14091" width="10.7109375" style="1" customWidth="1"/>
    <col min="14092" max="14092" width="10.5703125" style="1" customWidth="1"/>
    <col min="14093" max="14093" width="1.140625" style="1" customWidth="1"/>
    <col min="14094" max="14094" width="11.28515625" style="1" customWidth="1"/>
    <col min="14095" max="14095" width="12.7109375" style="1" customWidth="1"/>
    <col min="14096" max="14096" width="11.5703125" style="1" customWidth="1"/>
    <col min="14097" max="14097" width="12.42578125" style="1" customWidth="1"/>
    <col min="14098" max="14098" width="1.5703125" style="1" customWidth="1"/>
    <col min="14099" max="14099" width="11.42578125" style="1" customWidth="1"/>
    <col min="14100" max="14100" width="12.140625" style="1" customWidth="1"/>
    <col min="14101" max="14101" width="1.7109375" style="1" customWidth="1"/>
    <col min="14102" max="14102" width="13.5703125" style="1" customWidth="1"/>
    <col min="14103" max="14339" width="8.85546875" style="1"/>
    <col min="14340" max="14340" width="9.28515625" style="1" customWidth="1"/>
    <col min="14341" max="14341" width="1.7109375" style="1" customWidth="1"/>
    <col min="14342" max="14345" width="12" style="1" customWidth="1"/>
    <col min="14346" max="14346" width="11.85546875" style="1" customWidth="1"/>
    <col min="14347" max="14347" width="10.7109375" style="1" customWidth="1"/>
    <col min="14348" max="14348" width="10.5703125" style="1" customWidth="1"/>
    <col min="14349" max="14349" width="1.140625" style="1" customWidth="1"/>
    <col min="14350" max="14350" width="11.28515625" style="1" customWidth="1"/>
    <col min="14351" max="14351" width="12.7109375" style="1" customWidth="1"/>
    <col min="14352" max="14352" width="11.5703125" style="1" customWidth="1"/>
    <col min="14353" max="14353" width="12.42578125" style="1" customWidth="1"/>
    <col min="14354" max="14354" width="1.5703125" style="1" customWidth="1"/>
    <col min="14355" max="14355" width="11.42578125" style="1" customWidth="1"/>
    <col min="14356" max="14356" width="12.140625" style="1" customWidth="1"/>
    <col min="14357" max="14357" width="1.7109375" style="1" customWidth="1"/>
    <col min="14358" max="14358" width="13.5703125" style="1" customWidth="1"/>
    <col min="14359" max="14595" width="8.85546875" style="1"/>
    <col min="14596" max="14596" width="9.28515625" style="1" customWidth="1"/>
    <col min="14597" max="14597" width="1.7109375" style="1" customWidth="1"/>
    <col min="14598" max="14601" width="12" style="1" customWidth="1"/>
    <col min="14602" max="14602" width="11.85546875" style="1" customWidth="1"/>
    <col min="14603" max="14603" width="10.7109375" style="1" customWidth="1"/>
    <col min="14604" max="14604" width="10.5703125" style="1" customWidth="1"/>
    <col min="14605" max="14605" width="1.140625" style="1" customWidth="1"/>
    <col min="14606" max="14606" width="11.28515625" style="1" customWidth="1"/>
    <col min="14607" max="14607" width="12.7109375" style="1" customWidth="1"/>
    <col min="14608" max="14608" width="11.5703125" style="1" customWidth="1"/>
    <col min="14609" max="14609" width="12.42578125" style="1" customWidth="1"/>
    <col min="14610" max="14610" width="1.5703125" style="1" customWidth="1"/>
    <col min="14611" max="14611" width="11.42578125" style="1" customWidth="1"/>
    <col min="14612" max="14612" width="12.140625" style="1" customWidth="1"/>
    <col min="14613" max="14613" width="1.7109375" style="1" customWidth="1"/>
    <col min="14614" max="14614" width="13.5703125" style="1" customWidth="1"/>
    <col min="14615" max="14851" width="8.85546875" style="1"/>
    <col min="14852" max="14852" width="9.28515625" style="1" customWidth="1"/>
    <col min="14853" max="14853" width="1.7109375" style="1" customWidth="1"/>
    <col min="14854" max="14857" width="12" style="1" customWidth="1"/>
    <col min="14858" max="14858" width="11.85546875" style="1" customWidth="1"/>
    <col min="14859" max="14859" width="10.7109375" style="1" customWidth="1"/>
    <col min="14860" max="14860" width="10.5703125" style="1" customWidth="1"/>
    <col min="14861" max="14861" width="1.140625" style="1" customWidth="1"/>
    <col min="14862" max="14862" width="11.28515625" style="1" customWidth="1"/>
    <col min="14863" max="14863" width="12.7109375" style="1" customWidth="1"/>
    <col min="14864" max="14864" width="11.5703125" style="1" customWidth="1"/>
    <col min="14865" max="14865" width="12.42578125" style="1" customWidth="1"/>
    <col min="14866" max="14866" width="1.5703125" style="1" customWidth="1"/>
    <col min="14867" max="14867" width="11.42578125" style="1" customWidth="1"/>
    <col min="14868" max="14868" width="12.140625" style="1" customWidth="1"/>
    <col min="14869" max="14869" width="1.7109375" style="1" customWidth="1"/>
    <col min="14870" max="14870" width="13.5703125" style="1" customWidth="1"/>
    <col min="14871" max="15107" width="8.85546875" style="1"/>
    <col min="15108" max="15108" width="9.28515625" style="1" customWidth="1"/>
    <col min="15109" max="15109" width="1.7109375" style="1" customWidth="1"/>
    <col min="15110" max="15113" width="12" style="1" customWidth="1"/>
    <col min="15114" max="15114" width="11.85546875" style="1" customWidth="1"/>
    <col min="15115" max="15115" width="10.7109375" style="1" customWidth="1"/>
    <col min="15116" max="15116" width="10.5703125" style="1" customWidth="1"/>
    <col min="15117" max="15117" width="1.140625" style="1" customWidth="1"/>
    <col min="15118" max="15118" width="11.28515625" style="1" customWidth="1"/>
    <col min="15119" max="15119" width="12.7109375" style="1" customWidth="1"/>
    <col min="15120" max="15120" width="11.5703125" style="1" customWidth="1"/>
    <col min="15121" max="15121" width="12.42578125" style="1" customWidth="1"/>
    <col min="15122" max="15122" width="1.5703125" style="1" customWidth="1"/>
    <col min="15123" max="15123" width="11.42578125" style="1" customWidth="1"/>
    <col min="15124" max="15124" width="12.140625" style="1" customWidth="1"/>
    <col min="15125" max="15125" width="1.7109375" style="1" customWidth="1"/>
    <col min="15126" max="15126" width="13.5703125" style="1" customWidth="1"/>
    <col min="15127" max="15363" width="8.85546875" style="1"/>
    <col min="15364" max="15364" width="9.28515625" style="1" customWidth="1"/>
    <col min="15365" max="15365" width="1.7109375" style="1" customWidth="1"/>
    <col min="15366" max="15369" width="12" style="1" customWidth="1"/>
    <col min="15370" max="15370" width="11.85546875" style="1" customWidth="1"/>
    <col min="15371" max="15371" width="10.7109375" style="1" customWidth="1"/>
    <col min="15372" max="15372" width="10.5703125" style="1" customWidth="1"/>
    <col min="15373" max="15373" width="1.140625" style="1" customWidth="1"/>
    <col min="15374" max="15374" width="11.28515625" style="1" customWidth="1"/>
    <col min="15375" max="15375" width="12.7109375" style="1" customWidth="1"/>
    <col min="15376" max="15376" width="11.5703125" style="1" customWidth="1"/>
    <col min="15377" max="15377" width="12.42578125" style="1" customWidth="1"/>
    <col min="15378" max="15378" width="1.5703125" style="1" customWidth="1"/>
    <col min="15379" max="15379" width="11.42578125" style="1" customWidth="1"/>
    <col min="15380" max="15380" width="12.140625" style="1" customWidth="1"/>
    <col min="15381" max="15381" width="1.7109375" style="1" customWidth="1"/>
    <col min="15382" max="15382" width="13.5703125" style="1" customWidth="1"/>
    <col min="15383" max="15619" width="8.85546875" style="1"/>
    <col min="15620" max="15620" width="9.28515625" style="1" customWidth="1"/>
    <col min="15621" max="15621" width="1.7109375" style="1" customWidth="1"/>
    <col min="15622" max="15625" width="12" style="1" customWidth="1"/>
    <col min="15626" max="15626" width="11.85546875" style="1" customWidth="1"/>
    <col min="15627" max="15627" width="10.7109375" style="1" customWidth="1"/>
    <col min="15628" max="15628" width="10.5703125" style="1" customWidth="1"/>
    <col min="15629" max="15629" width="1.140625" style="1" customWidth="1"/>
    <col min="15630" max="15630" width="11.28515625" style="1" customWidth="1"/>
    <col min="15631" max="15631" width="12.7109375" style="1" customWidth="1"/>
    <col min="15632" max="15632" width="11.5703125" style="1" customWidth="1"/>
    <col min="15633" max="15633" width="12.42578125" style="1" customWidth="1"/>
    <col min="15634" max="15634" width="1.5703125" style="1" customWidth="1"/>
    <col min="15635" max="15635" width="11.42578125" style="1" customWidth="1"/>
    <col min="15636" max="15636" width="12.140625" style="1" customWidth="1"/>
    <col min="15637" max="15637" width="1.7109375" style="1" customWidth="1"/>
    <col min="15638" max="15638" width="13.5703125" style="1" customWidth="1"/>
    <col min="15639" max="15875" width="8.85546875" style="1"/>
    <col min="15876" max="15876" width="9.28515625" style="1" customWidth="1"/>
    <col min="15877" max="15877" width="1.7109375" style="1" customWidth="1"/>
    <col min="15878" max="15881" width="12" style="1" customWidth="1"/>
    <col min="15882" max="15882" width="11.85546875" style="1" customWidth="1"/>
    <col min="15883" max="15883" width="10.7109375" style="1" customWidth="1"/>
    <col min="15884" max="15884" width="10.5703125" style="1" customWidth="1"/>
    <col min="15885" max="15885" width="1.140625" style="1" customWidth="1"/>
    <col min="15886" max="15886" width="11.28515625" style="1" customWidth="1"/>
    <col min="15887" max="15887" width="12.7109375" style="1" customWidth="1"/>
    <col min="15888" max="15888" width="11.5703125" style="1" customWidth="1"/>
    <col min="15889" max="15889" width="12.42578125" style="1" customWidth="1"/>
    <col min="15890" max="15890" width="1.5703125" style="1" customWidth="1"/>
    <col min="15891" max="15891" width="11.42578125" style="1" customWidth="1"/>
    <col min="15892" max="15892" width="12.140625" style="1" customWidth="1"/>
    <col min="15893" max="15893" width="1.7109375" style="1" customWidth="1"/>
    <col min="15894" max="15894" width="13.5703125" style="1" customWidth="1"/>
    <col min="15895" max="16131" width="8.85546875" style="1"/>
    <col min="16132" max="16132" width="9.28515625" style="1" customWidth="1"/>
    <col min="16133" max="16133" width="1.7109375" style="1" customWidth="1"/>
    <col min="16134" max="16137" width="12" style="1" customWidth="1"/>
    <col min="16138" max="16138" width="11.85546875" style="1" customWidth="1"/>
    <col min="16139" max="16139" width="10.7109375" style="1" customWidth="1"/>
    <col min="16140" max="16140" width="10.5703125" style="1" customWidth="1"/>
    <col min="16141" max="16141" width="1.140625" style="1" customWidth="1"/>
    <col min="16142" max="16142" width="11.28515625" style="1" customWidth="1"/>
    <col min="16143" max="16143" width="12.7109375" style="1" customWidth="1"/>
    <col min="16144" max="16144" width="11.5703125" style="1" customWidth="1"/>
    <col min="16145" max="16145" width="12.42578125" style="1" customWidth="1"/>
    <col min="16146" max="16146" width="1.5703125" style="1" customWidth="1"/>
    <col min="16147" max="16147" width="11.42578125" style="1" customWidth="1"/>
    <col min="16148" max="16148" width="12.140625" style="1" customWidth="1"/>
    <col min="16149" max="16149" width="1.7109375" style="1" customWidth="1"/>
    <col min="16150" max="16150" width="13.5703125" style="1" customWidth="1"/>
    <col min="16151" max="16384" width="8.85546875" style="1"/>
  </cols>
  <sheetData>
    <row r="1" spans="1:22" ht="18" x14ac:dyDescent="0.25">
      <c r="A1" s="86" t="s">
        <v>0</v>
      </c>
      <c r="B1" s="86"/>
      <c r="C1" s="86"/>
      <c r="D1" s="86"/>
      <c r="E1" s="86"/>
      <c r="F1" s="86"/>
      <c r="G1" s="86"/>
      <c r="H1" s="86"/>
      <c r="I1" s="86"/>
      <c r="J1" s="86"/>
      <c r="K1" s="86"/>
      <c r="L1" s="86"/>
      <c r="M1" s="86"/>
      <c r="N1" s="86"/>
      <c r="O1" s="86"/>
      <c r="P1" s="86"/>
      <c r="Q1" s="86"/>
      <c r="R1" s="86"/>
      <c r="S1" s="86"/>
      <c r="T1" s="86"/>
      <c r="U1" s="86"/>
      <c r="V1" s="86"/>
    </row>
    <row r="2" spans="1:22" ht="15.75" x14ac:dyDescent="0.25">
      <c r="A2" s="87" t="s">
        <v>1</v>
      </c>
      <c r="B2" s="87"/>
      <c r="C2" s="87"/>
      <c r="D2" s="87"/>
      <c r="E2" s="87"/>
      <c r="F2" s="87"/>
      <c r="G2" s="87"/>
      <c r="H2" s="87"/>
      <c r="I2" s="87"/>
      <c r="J2" s="87"/>
      <c r="K2" s="87"/>
      <c r="L2" s="87"/>
      <c r="M2" s="87"/>
      <c r="N2" s="87"/>
      <c r="O2" s="87"/>
      <c r="P2" s="87"/>
      <c r="Q2" s="87"/>
      <c r="R2" s="87"/>
      <c r="S2" s="87"/>
      <c r="T2" s="87"/>
      <c r="U2" s="87"/>
      <c r="V2" s="87"/>
    </row>
    <row r="3" spans="1:22" s="2" customFormat="1" ht="15.75" x14ac:dyDescent="0.25">
      <c r="A3" s="87" t="s">
        <v>2</v>
      </c>
      <c r="B3" s="87"/>
      <c r="C3" s="87"/>
      <c r="D3" s="87"/>
      <c r="E3" s="87"/>
      <c r="F3" s="87"/>
      <c r="G3" s="87"/>
      <c r="H3" s="87"/>
      <c r="I3" s="87"/>
      <c r="J3" s="87"/>
      <c r="K3" s="87"/>
      <c r="L3" s="87"/>
      <c r="M3" s="87"/>
      <c r="N3" s="87"/>
      <c r="O3" s="87"/>
      <c r="P3" s="87"/>
      <c r="Q3" s="87"/>
      <c r="R3" s="87"/>
      <c r="S3" s="87"/>
      <c r="T3" s="87"/>
      <c r="U3" s="87"/>
      <c r="V3" s="87"/>
    </row>
    <row r="4" spans="1:22" s="2" customFormat="1" ht="14.25" customHeight="1" x14ac:dyDescent="0.25">
      <c r="A4" s="88" t="s">
        <v>3</v>
      </c>
      <c r="B4" s="88"/>
      <c r="C4" s="88"/>
      <c r="D4" s="88"/>
      <c r="E4" s="88"/>
      <c r="F4" s="88"/>
      <c r="G4" s="88"/>
      <c r="H4" s="88"/>
      <c r="I4" s="88"/>
      <c r="J4" s="88"/>
      <c r="K4" s="88"/>
      <c r="L4" s="88"/>
      <c r="M4" s="88"/>
      <c r="N4" s="88"/>
      <c r="O4" s="88"/>
      <c r="P4" s="88"/>
      <c r="Q4" s="88"/>
      <c r="R4" s="88"/>
      <c r="S4" s="88"/>
      <c r="T4" s="88"/>
      <c r="U4" s="88"/>
      <c r="V4" s="88"/>
    </row>
    <row r="5" spans="1:22" s="2" customFormat="1" x14ac:dyDescent="0.25">
      <c r="A5" s="89" t="s">
        <v>4</v>
      </c>
      <c r="B5" s="89"/>
      <c r="C5" s="89"/>
      <c r="D5" s="89"/>
      <c r="E5" s="89"/>
      <c r="F5" s="89"/>
      <c r="G5" s="89"/>
      <c r="H5" s="89"/>
      <c r="I5" s="89"/>
      <c r="J5" s="89"/>
      <c r="K5" s="89"/>
      <c r="L5" s="89"/>
      <c r="M5" s="89"/>
      <c r="N5" s="89"/>
      <c r="O5" s="89"/>
      <c r="P5" s="89"/>
      <c r="Q5" s="89"/>
      <c r="R5" s="89"/>
      <c r="S5" s="89"/>
      <c r="T5" s="89"/>
      <c r="U5" s="89"/>
      <c r="V5" s="89"/>
    </row>
    <row r="6" spans="1:22" s="2" customFormat="1" x14ac:dyDescent="0.25">
      <c r="A6" s="64"/>
      <c r="B6" s="64"/>
      <c r="C6" s="64"/>
      <c r="D6" s="64"/>
      <c r="E6" s="64"/>
      <c r="F6" s="64"/>
      <c r="G6" s="64"/>
      <c r="H6" s="64"/>
      <c r="I6" s="64"/>
      <c r="J6" s="64"/>
      <c r="K6" s="64"/>
      <c r="L6" s="64"/>
      <c r="M6" s="64"/>
      <c r="N6" s="64"/>
      <c r="O6" s="64"/>
      <c r="P6" s="64"/>
      <c r="Q6" s="64"/>
      <c r="R6" s="64"/>
      <c r="S6" s="66"/>
      <c r="T6" s="66"/>
    </row>
    <row r="7" spans="1:22" s="2" customFormat="1" x14ac:dyDescent="0.25">
      <c r="A7" s="4"/>
      <c r="B7" s="4"/>
      <c r="C7" s="5"/>
      <c r="D7" s="5"/>
      <c r="E7" s="5"/>
      <c r="F7" s="5"/>
      <c r="G7" s="5"/>
      <c r="H7" s="6"/>
      <c r="I7" s="7"/>
      <c r="J7" s="6"/>
      <c r="K7" s="6"/>
      <c r="L7" s="6"/>
      <c r="M7" s="6"/>
      <c r="N7" s="6"/>
      <c r="O7" s="6"/>
      <c r="P7" s="6"/>
      <c r="Q7" s="6"/>
      <c r="R7" s="6"/>
      <c r="S7" s="6"/>
      <c r="T7" s="6"/>
    </row>
    <row r="8" spans="1:22" s="8" customFormat="1" ht="14.25" customHeight="1" x14ac:dyDescent="0.25">
      <c r="A8" s="83" t="s">
        <v>69</v>
      </c>
      <c r="B8" s="84"/>
      <c r="C8" s="84"/>
      <c r="D8" s="84"/>
      <c r="E8" s="84"/>
      <c r="F8" s="84"/>
      <c r="G8" s="84"/>
      <c r="H8" s="84"/>
      <c r="I8" s="84"/>
      <c r="J8" s="84"/>
      <c r="K8" s="84"/>
      <c r="L8" s="84"/>
      <c r="M8" s="84"/>
      <c r="N8" s="84"/>
      <c r="O8" s="84"/>
      <c r="P8" s="84"/>
      <c r="Q8" s="84"/>
      <c r="R8" s="84"/>
      <c r="S8" s="84"/>
      <c r="T8" s="84"/>
      <c r="U8" s="84"/>
      <c r="V8" s="85"/>
    </row>
    <row r="9" spans="1:22" s="2" customFormat="1" ht="9" customHeight="1" x14ac:dyDescent="0.25">
      <c r="A9" s="4"/>
      <c r="B9" s="4"/>
      <c r="C9" s="5"/>
      <c r="D9" s="5"/>
      <c r="E9" s="5"/>
      <c r="F9" s="5"/>
      <c r="G9" s="5"/>
      <c r="H9" s="6"/>
      <c r="I9" s="7"/>
      <c r="J9" s="6"/>
      <c r="K9" s="6"/>
      <c r="L9" s="6"/>
      <c r="M9" s="6"/>
      <c r="N9" s="6"/>
      <c r="O9" s="6"/>
      <c r="P9" s="6"/>
      <c r="Q9" s="6"/>
      <c r="R9" s="6"/>
      <c r="S9" s="6"/>
      <c r="T9" s="6"/>
    </row>
    <row r="10" spans="1:22" s="13" customFormat="1" ht="12.75" x14ac:dyDescent="0.2">
      <c r="A10" s="9"/>
      <c r="B10" s="9"/>
      <c r="C10" s="91" t="s">
        <v>6</v>
      </c>
      <c r="D10" s="92"/>
      <c r="E10" s="92"/>
      <c r="F10" s="92"/>
      <c r="G10" s="92"/>
      <c r="H10" s="92"/>
      <c r="I10" s="92"/>
      <c r="J10" s="10"/>
      <c r="K10" s="11"/>
      <c r="L10" s="91" t="s">
        <v>7</v>
      </c>
      <c r="M10" s="92"/>
      <c r="N10" s="92"/>
      <c r="O10" s="93"/>
      <c r="P10" s="12"/>
      <c r="Q10" s="91" t="s">
        <v>8</v>
      </c>
      <c r="R10" s="93"/>
      <c r="S10" s="67"/>
      <c r="T10" s="68" t="s">
        <v>70</v>
      </c>
    </row>
    <row r="11" spans="1:22" s="18" customFormat="1" ht="12" x14ac:dyDescent="0.2">
      <c r="A11" s="14"/>
      <c r="B11" s="14"/>
      <c r="C11" s="15"/>
      <c r="D11" s="16" t="s">
        <v>9</v>
      </c>
      <c r="E11" s="15"/>
      <c r="F11" s="16" t="s">
        <v>10</v>
      </c>
      <c r="G11" s="15"/>
      <c r="H11" s="17" t="s">
        <v>11</v>
      </c>
      <c r="I11" s="15"/>
      <c r="J11" s="15"/>
      <c r="K11" s="15"/>
      <c r="L11" s="16" t="s">
        <v>10</v>
      </c>
      <c r="M11" s="16"/>
      <c r="N11" s="16" t="s">
        <v>9</v>
      </c>
      <c r="O11" s="16" t="s">
        <v>10</v>
      </c>
      <c r="Q11" s="16" t="s">
        <v>10</v>
      </c>
      <c r="R11" s="16" t="s">
        <v>10</v>
      </c>
      <c r="S11" s="16"/>
      <c r="T11" s="16"/>
      <c r="V11" s="16" t="s">
        <v>10</v>
      </c>
    </row>
    <row r="12" spans="1:22" s="21" customFormat="1" ht="12" x14ac:dyDescent="0.2">
      <c r="A12" s="19"/>
      <c r="B12" s="19"/>
      <c r="C12" s="16" t="s">
        <v>12</v>
      </c>
      <c r="D12" s="20" t="s">
        <v>13</v>
      </c>
      <c r="E12" s="16" t="s">
        <v>12</v>
      </c>
      <c r="F12" s="16" t="s">
        <v>14</v>
      </c>
      <c r="G12" s="16"/>
      <c r="H12" s="17" t="s">
        <v>15</v>
      </c>
      <c r="I12" s="16" t="s">
        <v>16</v>
      </c>
      <c r="J12" s="16"/>
      <c r="K12" s="16"/>
      <c r="L12" s="21" t="s">
        <v>11</v>
      </c>
      <c r="M12" s="16" t="s">
        <v>17</v>
      </c>
      <c r="N12" s="16" t="s">
        <v>17</v>
      </c>
      <c r="O12" s="16" t="s">
        <v>17</v>
      </c>
      <c r="Q12" s="21" t="s">
        <v>11</v>
      </c>
      <c r="R12" s="16" t="s">
        <v>18</v>
      </c>
      <c r="S12" s="16"/>
      <c r="T12" s="16" t="s">
        <v>71</v>
      </c>
      <c r="V12" s="16" t="s">
        <v>10</v>
      </c>
    </row>
    <row r="13" spans="1:22" s="21" customFormat="1" ht="12" x14ac:dyDescent="0.2">
      <c r="A13" s="22" t="s">
        <v>19</v>
      </c>
      <c r="B13" s="22"/>
      <c r="C13" s="23" t="s">
        <v>20</v>
      </c>
      <c r="D13" s="23" t="s">
        <v>12</v>
      </c>
      <c r="E13" s="23" t="s">
        <v>21</v>
      </c>
      <c r="F13" s="23" t="s">
        <v>22</v>
      </c>
      <c r="G13" s="23"/>
      <c r="H13" s="24" t="s">
        <v>23</v>
      </c>
      <c r="I13" s="23" t="s">
        <v>24</v>
      </c>
      <c r="J13" s="20"/>
      <c r="K13" s="20"/>
      <c r="L13" s="23" t="s">
        <v>25</v>
      </c>
      <c r="M13" s="23" t="s">
        <v>26</v>
      </c>
      <c r="N13" s="23" t="s">
        <v>12</v>
      </c>
      <c r="O13" s="23" t="s">
        <v>22</v>
      </c>
      <c r="P13" s="25"/>
      <c r="Q13" s="23" t="s">
        <v>8</v>
      </c>
      <c r="R13" s="23" t="s">
        <v>22</v>
      </c>
      <c r="S13" s="20"/>
      <c r="T13" s="23" t="s">
        <v>22</v>
      </c>
      <c r="V13" s="23" t="s">
        <v>27</v>
      </c>
    </row>
    <row r="14" spans="1:22" x14ac:dyDescent="0.25">
      <c r="A14" s="4">
        <v>43556</v>
      </c>
      <c r="C14" s="26">
        <v>82589044.75</v>
      </c>
      <c r="D14" s="26">
        <v>1069371.01</v>
      </c>
      <c r="E14" s="26">
        <v>75594307.629999995</v>
      </c>
      <c r="F14" s="26">
        <v>5925366.1100000003</v>
      </c>
      <c r="G14" s="26"/>
      <c r="H14" s="27">
        <v>919</v>
      </c>
      <c r="I14" s="26">
        <v>215</v>
      </c>
      <c r="J14" s="26"/>
      <c r="L14" s="27">
        <v>29</v>
      </c>
      <c r="M14" s="26">
        <v>4646364</v>
      </c>
      <c r="N14" s="26">
        <v>144605</v>
      </c>
      <c r="O14" s="26">
        <v>946981.5</v>
      </c>
      <c r="Q14" s="27">
        <v>8</v>
      </c>
      <c r="R14" s="26">
        <v>61458</v>
      </c>
      <c r="S14" s="26"/>
      <c r="T14" s="26">
        <v>0</v>
      </c>
      <c r="V14" s="26">
        <f t="shared" ref="V14:V16" si="0">F14+O14+R14</f>
        <v>6933805.6100000003</v>
      </c>
    </row>
    <row r="15" spans="1:22" x14ac:dyDescent="0.25">
      <c r="A15" s="4">
        <v>43586</v>
      </c>
      <c r="C15" s="26">
        <v>88087004.109999999</v>
      </c>
      <c r="D15" s="26">
        <v>1090584.21</v>
      </c>
      <c r="E15" s="26">
        <v>80683612.180000007</v>
      </c>
      <c r="F15" s="26">
        <v>6312807.7199999997</v>
      </c>
      <c r="G15" s="29"/>
      <c r="H15" s="27">
        <v>908</v>
      </c>
      <c r="I15" s="26">
        <v>224</v>
      </c>
      <c r="J15" s="26"/>
      <c r="K15" s="29"/>
      <c r="L15" s="27">
        <v>26</v>
      </c>
      <c r="M15" s="26">
        <v>4692491</v>
      </c>
      <c r="N15" s="26">
        <v>91125</v>
      </c>
      <c r="O15" s="26">
        <v>1020236</v>
      </c>
      <c r="P15" s="29"/>
      <c r="Q15" s="27">
        <v>6</v>
      </c>
      <c r="R15" s="26">
        <v>71691</v>
      </c>
      <c r="S15" s="26"/>
      <c r="T15" s="26">
        <v>0</v>
      </c>
      <c r="V15" s="26">
        <f t="shared" si="0"/>
        <v>7404734.7199999997</v>
      </c>
    </row>
    <row r="16" spans="1:22" x14ac:dyDescent="0.25">
      <c r="A16" s="4">
        <v>43617</v>
      </c>
      <c r="C16" s="26">
        <v>84717670.859999999</v>
      </c>
      <c r="D16" s="26">
        <v>1129230.79</v>
      </c>
      <c r="E16" s="26">
        <v>77703694.560000002</v>
      </c>
      <c r="F16" s="26">
        <v>5884745.5099999998</v>
      </c>
      <c r="G16" s="29"/>
      <c r="H16" s="27">
        <v>901</v>
      </c>
      <c r="I16" s="26">
        <v>218</v>
      </c>
      <c r="J16" s="26"/>
      <c r="K16" s="29"/>
      <c r="L16" s="27">
        <v>28</v>
      </c>
      <c r="M16" s="26">
        <v>4314352</v>
      </c>
      <c r="N16" s="26">
        <v>94780</v>
      </c>
      <c r="O16" s="26">
        <v>1056951</v>
      </c>
      <c r="P16" s="29"/>
      <c r="Q16" s="27">
        <v>6</v>
      </c>
      <c r="R16" s="26">
        <v>61205</v>
      </c>
      <c r="S16" s="26"/>
      <c r="T16" s="26">
        <v>0</v>
      </c>
      <c r="V16" s="26">
        <f t="shared" si="0"/>
        <v>7002901.5099999998</v>
      </c>
    </row>
    <row r="17" spans="1:22" x14ac:dyDescent="0.25">
      <c r="A17" s="4">
        <v>43647</v>
      </c>
      <c r="C17" s="26">
        <v>85128483.150000006</v>
      </c>
      <c r="D17" s="26">
        <v>1145415.1100000001</v>
      </c>
      <c r="E17" s="26">
        <v>77869837.890000001</v>
      </c>
      <c r="F17" s="26">
        <v>6113230.1500000004</v>
      </c>
      <c r="G17" s="30"/>
      <c r="H17" s="27">
        <v>892</v>
      </c>
      <c r="I17" s="26">
        <v>221</v>
      </c>
      <c r="J17" s="26"/>
      <c r="K17" s="30"/>
      <c r="L17" s="27">
        <v>28</v>
      </c>
      <c r="M17" s="26">
        <v>4266302</v>
      </c>
      <c r="N17" s="26">
        <v>96890</v>
      </c>
      <c r="O17" s="26">
        <v>861921.23</v>
      </c>
      <c r="P17" s="30"/>
      <c r="Q17" s="27">
        <v>6</v>
      </c>
      <c r="R17" s="26">
        <v>62992</v>
      </c>
      <c r="S17" s="26"/>
      <c r="T17" s="26">
        <v>55219.13</v>
      </c>
      <c r="U17" s="30"/>
      <c r="V17" s="26">
        <f>F17+O17+R17+T17</f>
        <v>7093362.5100000007</v>
      </c>
    </row>
    <row r="18" spans="1:22" x14ac:dyDescent="0.25">
      <c r="A18" s="4">
        <v>43678</v>
      </c>
      <c r="C18" s="26">
        <v>88044269.299999997</v>
      </c>
      <c r="D18" s="26">
        <v>1194375.43</v>
      </c>
      <c r="E18" s="26">
        <v>80603506.650000006</v>
      </c>
      <c r="F18" s="26">
        <v>6246387.2199999997</v>
      </c>
      <c r="G18" s="30"/>
      <c r="H18" s="27">
        <v>892</v>
      </c>
      <c r="I18" s="26">
        <v>226</v>
      </c>
      <c r="J18" s="26"/>
      <c r="K18" s="30"/>
      <c r="L18" s="27">
        <v>28</v>
      </c>
      <c r="M18" s="26">
        <v>4384322</v>
      </c>
      <c r="N18" s="26">
        <v>100250</v>
      </c>
      <c r="O18" s="26">
        <v>916450.71</v>
      </c>
      <c r="P18" s="30"/>
      <c r="Q18" s="27">
        <v>6</v>
      </c>
      <c r="R18" s="26">
        <v>56315</v>
      </c>
      <c r="S18" s="26"/>
      <c r="T18" s="26">
        <v>132029.57999999999</v>
      </c>
      <c r="U18" s="30"/>
      <c r="V18" s="26">
        <f t="shared" ref="V18:V25" si="1">F18+O18+R18+T18</f>
        <v>7351182.5099999998</v>
      </c>
    </row>
    <row r="19" spans="1:22" x14ac:dyDescent="0.25">
      <c r="A19" s="4">
        <v>43709</v>
      </c>
      <c r="C19" s="26">
        <v>82451400.670000002</v>
      </c>
      <c r="D19" s="26">
        <v>1149138.43</v>
      </c>
      <c r="E19" s="26">
        <v>75533911.109999999</v>
      </c>
      <c r="F19" s="26">
        <v>5768351.1299999999</v>
      </c>
      <c r="G19" s="30"/>
      <c r="H19" s="27">
        <v>892</v>
      </c>
      <c r="I19" s="26">
        <v>216</v>
      </c>
      <c r="J19" s="26"/>
      <c r="K19" s="30"/>
      <c r="L19" s="27">
        <v>28</v>
      </c>
      <c r="M19" s="26">
        <v>4095389</v>
      </c>
      <c r="N19" s="26">
        <v>87930</v>
      </c>
      <c r="O19" s="26">
        <v>897125.41</v>
      </c>
      <c r="P19" s="30"/>
      <c r="Q19" s="27">
        <v>6</v>
      </c>
      <c r="R19" s="26">
        <v>45868</v>
      </c>
      <c r="S19" s="26"/>
      <c r="T19" s="26">
        <v>161833.75</v>
      </c>
      <c r="U19" s="30"/>
      <c r="V19" s="26">
        <f t="shared" si="1"/>
        <v>6873178.29</v>
      </c>
    </row>
    <row r="20" spans="1:22" x14ac:dyDescent="0.25">
      <c r="A20" s="4">
        <v>43739</v>
      </c>
      <c r="C20" s="26">
        <v>83340633.870000005</v>
      </c>
      <c r="D20" s="26">
        <v>1117210.5</v>
      </c>
      <c r="E20" s="26">
        <v>76248303.930000007</v>
      </c>
      <c r="F20" s="26">
        <v>5975119.4400000004</v>
      </c>
      <c r="G20" s="30"/>
      <c r="H20" s="27">
        <v>892</v>
      </c>
      <c r="I20" s="26">
        <v>216</v>
      </c>
      <c r="J20" s="26"/>
      <c r="K20" s="30"/>
      <c r="L20" s="27">
        <v>28</v>
      </c>
      <c r="M20" s="26">
        <v>4010127</v>
      </c>
      <c r="N20" s="26">
        <v>89145</v>
      </c>
      <c r="O20" s="26">
        <v>747274.76</v>
      </c>
      <c r="P20" s="30"/>
      <c r="Q20" s="27">
        <v>6</v>
      </c>
      <c r="R20" s="26">
        <v>52043</v>
      </c>
      <c r="S20" s="26"/>
      <c r="T20" s="26">
        <v>152696</v>
      </c>
      <c r="U20" s="30"/>
      <c r="V20" s="26">
        <f t="shared" si="1"/>
        <v>6927133.2000000002</v>
      </c>
    </row>
    <row r="21" spans="1:22" x14ac:dyDescent="0.25">
      <c r="A21" s="4">
        <v>43770</v>
      </c>
      <c r="C21" s="26">
        <v>80806339.519999996</v>
      </c>
      <c r="D21" s="26">
        <v>1086521.1000000001</v>
      </c>
      <c r="E21" s="26">
        <v>74043968.810000002</v>
      </c>
      <c r="F21" s="26">
        <v>5675849.6100000003</v>
      </c>
      <c r="G21" s="30"/>
      <c r="H21" s="27">
        <v>892</v>
      </c>
      <c r="I21" s="26">
        <v>212</v>
      </c>
      <c r="J21" s="26"/>
      <c r="K21" s="30"/>
      <c r="L21" s="27">
        <v>28</v>
      </c>
      <c r="M21" s="26">
        <v>4435596</v>
      </c>
      <c r="N21" s="26">
        <v>94835</v>
      </c>
      <c r="O21" s="26">
        <v>1053627.26</v>
      </c>
      <c r="P21" s="30"/>
      <c r="Q21" s="27">
        <v>6</v>
      </c>
      <c r="R21" s="26">
        <v>52441</v>
      </c>
      <c r="S21" s="26"/>
      <c r="T21" s="26">
        <v>61617.7</v>
      </c>
      <c r="U21" s="30"/>
      <c r="V21" s="26">
        <f t="shared" si="1"/>
        <v>6843535.5700000003</v>
      </c>
    </row>
    <row r="22" spans="1:22" x14ac:dyDescent="0.25">
      <c r="A22" s="4">
        <v>43800</v>
      </c>
      <c r="C22" s="26">
        <v>79781164.790000007</v>
      </c>
      <c r="D22" s="26">
        <v>997820.89</v>
      </c>
      <c r="E22" s="26">
        <v>73198705.950000003</v>
      </c>
      <c r="F22" s="26">
        <v>5584637.9500000002</v>
      </c>
      <c r="G22" s="30"/>
      <c r="H22" s="27">
        <v>891</v>
      </c>
      <c r="I22" s="26">
        <v>202</v>
      </c>
      <c r="J22" s="26"/>
      <c r="K22" s="30"/>
      <c r="L22" s="27">
        <v>28</v>
      </c>
      <c r="M22" s="26">
        <v>4754281</v>
      </c>
      <c r="N22" s="26">
        <v>103305</v>
      </c>
      <c r="O22" s="26">
        <v>824678.81</v>
      </c>
      <c r="P22" s="30"/>
      <c r="Q22" s="27">
        <v>6</v>
      </c>
      <c r="R22" s="26">
        <v>52104</v>
      </c>
      <c r="S22" s="26"/>
      <c r="T22" s="26">
        <v>68070.75</v>
      </c>
      <c r="U22" s="30"/>
      <c r="V22" s="26">
        <f t="shared" si="1"/>
        <v>6529491.5099999998</v>
      </c>
    </row>
    <row r="23" spans="1:22" x14ac:dyDescent="0.25">
      <c r="A23" s="4">
        <v>43831</v>
      </c>
      <c r="C23" s="26">
        <v>84882049.019999996</v>
      </c>
      <c r="D23" s="26">
        <v>1075404.33</v>
      </c>
      <c r="E23" s="26">
        <v>77912895.540000007</v>
      </c>
      <c r="F23" s="26">
        <v>5893749.1500000004</v>
      </c>
      <c r="G23" s="30"/>
      <c r="H23" s="27">
        <v>893</v>
      </c>
      <c r="I23" s="26">
        <v>213</v>
      </c>
      <c r="J23" s="26"/>
      <c r="K23" s="30"/>
      <c r="L23" s="27">
        <v>28</v>
      </c>
      <c r="M23" s="26">
        <v>4580426</v>
      </c>
      <c r="N23" s="26">
        <v>101065</v>
      </c>
      <c r="O23" s="26">
        <v>871718.17</v>
      </c>
      <c r="P23" s="30"/>
      <c r="Q23" s="27">
        <v>6</v>
      </c>
      <c r="R23" s="26">
        <v>57924</v>
      </c>
      <c r="S23" s="26"/>
      <c r="T23" s="26">
        <v>158444.97</v>
      </c>
      <c r="U23" s="30"/>
      <c r="V23" s="26">
        <f t="shared" si="1"/>
        <v>6981836.29</v>
      </c>
    </row>
    <row r="24" spans="1:22" x14ac:dyDescent="0.25">
      <c r="A24" s="4">
        <v>43862</v>
      </c>
      <c r="C24" s="26">
        <v>87221299.930000007</v>
      </c>
      <c r="D24" s="26">
        <v>1019530.7</v>
      </c>
      <c r="E24" s="26">
        <v>79886145.769999996</v>
      </c>
      <c r="F24" s="26">
        <v>6315623.46</v>
      </c>
      <c r="G24" s="30"/>
      <c r="H24" s="27">
        <v>893</v>
      </c>
      <c r="I24" s="26">
        <v>244</v>
      </c>
      <c r="J24" s="26"/>
      <c r="K24" s="30"/>
      <c r="L24" s="27">
        <v>28</v>
      </c>
      <c r="M24" s="26">
        <v>4521115</v>
      </c>
      <c r="N24" s="26">
        <v>109000</v>
      </c>
      <c r="O24" s="26">
        <v>862408.39</v>
      </c>
      <c r="P24" s="30"/>
      <c r="Q24" s="27">
        <v>6</v>
      </c>
      <c r="R24" s="26">
        <v>52142</v>
      </c>
      <c r="S24" s="26"/>
      <c r="T24" s="26">
        <v>-94029.75</v>
      </c>
      <c r="U24" s="30"/>
      <c r="V24" s="26">
        <f t="shared" si="1"/>
        <v>7136144.0999999996</v>
      </c>
    </row>
    <row r="25" spans="1:22" x14ac:dyDescent="0.25">
      <c r="A25" s="4">
        <v>43891</v>
      </c>
      <c r="C25" s="26">
        <v>42595439.689999998</v>
      </c>
      <c r="D25" s="26">
        <v>523244.66</v>
      </c>
      <c r="E25" s="26">
        <v>39006056.060000002</v>
      </c>
      <c r="F25" s="26">
        <v>3066138.9699999997</v>
      </c>
      <c r="G25" s="30"/>
      <c r="H25" s="27">
        <v>893</v>
      </c>
      <c r="I25" s="26">
        <v>214.59</v>
      </c>
      <c r="J25" s="26"/>
      <c r="K25" s="30"/>
      <c r="L25" s="27">
        <v>28</v>
      </c>
      <c r="M25" s="26">
        <v>2532583</v>
      </c>
      <c r="N25" s="26">
        <v>54080</v>
      </c>
      <c r="O25" s="26">
        <v>546509.83000000007</v>
      </c>
      <c r="P25" s="30"/>
      <c r="Q25" s="27">
        <v>6</v>
      </c>
      <c r="R25" s="26">
        <v>18984</v>
      </c>
      <c r="S25" s="26"/>
      <c r="T25" s="26">
        <v>-32925.75</v>
      </c>
      <c r="U25" s="30"/>
      <c r="V25" s="26">
        <f t="shared" si="1"/>
        <v>3598707.05</v>
      </c>
    </row>
    <row r="26" spans="1:22" ht="15.75" thickBot="1" x14ac:dyDescent="0.3">
      <c r="A26" s="4" t="s">
        <v>28</v>
      </c>
      <c r="C26" s="31">
        <f>SUM(C14:C25)</f>
        <v>969644799.66000009</v>
      </c>
      <c r="D26" s="31">
        <f t="shared" ref="D26:F26" si="2">SUM(D14:D25)</f>
        <v>12597847.16</v>
      </c>
      <c r="E26" s="31">
        <f t="shared" si="2"/>
        <v>888284946.07999992</v>
      </c>
      <c r="F26" s="31">
        <f t="shared" si="2"/>
        <v>68762006.420000002</v>
      </c>
      <c r="G26" s="31"/>
      <c r="H26" s="32">
        <v>897</v>
      </c>
      <c r="I26" s="31">
        <v>218.39</v>
      </c>
      <c r="J26" s="33"/>
      <c r="K26" s="34"/>
      <c r="L26" s="35">
        <v>28</v>
      </c>
      <c r="M26" s="31">
        <f>SUM(M14:M25)</f>
        <v>51233348</v>
      </c>
      <c r="N26" s="31">
        <f>SUM(N14:N25)</f>
        <v>1167010</v>
      </c>
      <c r="O26" s="31">
        <f>SUM(O14:O25)</f>
        <v>10605883.07</v>
      </c>
      <c r="P26" s="33"/>
      <c r="Q26" s="32">
        <v>6</v>
      </c>
      <c r="R26" s="31">
        <f>SUM(R14:R25)</f>
        <v>645167</v>
      </c>
      <c r="S26" s="33"/>
      <c r="T26" s="31">
        <f>SUM(T14:T25)</f>
        <v>662956.37999999989</v>
      </c>
      <c r="U26" s="33"/>
      <c r="V26" s="31">
        <f>SUM(V14:V25)</f>
        <v>80676012.86999999</v>
      </c>
    </row>
    <row r="27" spans="1:22" ht="10.5" customHeight="1" thickTop="1" x14ac:dyDescent="0.25">
      <c r="C27" s="36"/>
      <c r="D27" s="36"/>
      <c r="E27" s="36"/>
      <c r="F27" s="36"/>
      <c r="G27" s="36"/>
      <c r="H27" s="36"/>
      <c r="L27" s="38"/>
      <c r="M27" s="36"/>
      <c r="N27" s="36"/>
      <c r="O27" s="36"/>
      <c r="P27" s="36"/>
      <c r="Q27" s="38"/>
      <c r="R27" s="36"/>
      <c r="S27" s="36"/>
      <c r="T27" s="36"/>
    </row>
    <row r="28" spans="1:22" s="42" customFormat="1" x14ac:dyDescent="0.25">
      <c r="A28" s="39"/>
      <c r="B28" s="39"/>
      <c r="C28" s="40"/>
      <c r="D28" s="41">
        <f>D26/$C$26</f>
        <v>1.2992228870218617E-2</v>
      </c>
      <c r="E28" s="41">
        <f>E26/$C$26</f>
        <v>0.91609313677696358</v>
      </c>
      <c r="F28" s="41">
        <f>F26/$C$26</f>
        <v>7.0914634352817627E-2</v>
      </c>
      <c r="G28" s="41"/>
      <c r="H28" s="40"/>
      <c r="L28" s="40"/>
      <c r="M28" s="40"/>
      <c r="N28" s="40"/>
      <c r="O28" s="40">
        <f>O26/$M$26</f>
        <v>0.20701132141510642</v>
      </c>
      <c r="P28" s="40"/>
      <c r="Q28" s="40"/>
      <c r="R28" s="40"/>
      <c r="S28" s="40"/>
      <c r="T28" s="40"/>
    </row>
    <row r="29" spans="1:22" s="42" customFormat="1" x14ac:dyDescent="0.25">
      <c r="A29" s="39"/>
      <c r="B29" s="39"/>
      <c r="C29" s="40"/>
      <c r="D29" s="40"/>
      <c r="E29" s="40"/>
      <c r="F29" s="40"/>
      <c r="G29" s="40"/>
      <c r="H29" s="40"/>
      <c r="L29" s="40"/>
      <c r="M29" s="40"/>
      <c r="N29" s="40"/>
      <c r="O29" s="40"/>
      <c r="P29" s="40"/>
      <c r="Q29" s="40"/>
      <c r="R29" s="40"/>
      <c r="S29" s="40"/>
      <c r="T29" s="40"/>
    </row>
    <row r="30" spans="1:22" s="42" customFormat="1" x14ac:dyDescent="0.25">
      <c r="A30" s="83" t="s">
        <v>29</v>
      </c>
      <c r="B30" s="84"/>
      <c r="C30" s="84"/>
      <c r="D30" s="84"/>
      <c r="E30" s="84"/>
      <c r="F30" s="84"/>
      <c r="G30" s="84"/>
      <c r="H30" s="84"/>
      <c r="I30" s="84"/>
      <c r="J30" s="84"/>
      <c r="K30" s="84"/>
      <c r="L30" s="84"/>
      <c r="M30" s="84"/>
      <c r="N30" s="84"/>
      <c r="O30" s="84"/>
      <c r="P30" s="84"/>
      <c r="Q30" s="84"/>
      <c r="R30" s="84"/>
      <c r="S30" s="84"/>
      <c r="T30" s="84"/>
      <c r="U30" s="84"/>
      <c r="V30" s="85"/>
    </row>
    <row r="31" spans="1:22" s="44" customFormat="1" x14ac:dyDescent="0.25">
      <c r="A31" s="43"/>
      <c r="B31" s="43"/>
      <c r="C31" s="43"/>
      <c r="D31" s="43"/>
      <c r="E31" s="43"/>
      <c r="F31" s="43"/>
      <c r="G31" s="43"/>
      <c r="H31" s="43"/>
      <c r="I31" s="43"/>
      <c r="J31" s="43"/>
      <c r="K31" s="43"/>
      <c r="L31" s="43"/>
      <c r="M31" s="43"/>
      <c r="N31" s="43"/>
      <c r="O31" s="43"/>
      <c r="P31" s="43"/>
      <c r="Q31" s="43"/>
      <c r="R31" s="43"/>
      <c r="S31" s="43"/>
      <c r="T31" s="43"/>
    </row>
    <row r="32" spans="1:22" s="44" customFormat="1" x14ac:dyDescent="0.25">
      <c r="A32" s="43"/>
      <c r="B32" s="43"/>
      <c r="C32" s="43"/>
      <c r="D32" s="43"/>
      <c r="E32" s="43"/>
      <c r="F32" s="43"/>
      <c r="G32" s="43"/>
      <c r="H32" s="94" t="s">
        <v>30</v>
      </c>
      <c r="I32" s="95"/>
      <c r="J32" s="95"/>
      <c r="K32" s="95"/>
      <c r="L32" s="95"/>
      <c r="M32" s="95"/>
      <c r="N32" s="95"/>
      <c r="O32" s="95"/>
      <c r="P32" s="95"/>
      <c r="Q32" s="96"/>
      <c r="R32" s="45"/>
      <c r="S32" s="45"/>
      <c r="T32" s="45"/>
    </row>
    <row r="33" spans="1:22" s="46" customFormat="1" ht="12" x14ac:dyDescent="0.2">
      <c r="H33" s="16" t="s">
        <v>31</v>
      </c>
      <c r="I33" s="16" t="s">
        <v>32</v>
      </c>
      <c r="J33" s="16" t="s">
        <v>33</v>
      </c>
      <c r="M33" s="47"/>
      <c r="N33" s="47"/>
      <c r="O33" s="47"/>
      <c r="P33" s="47"/>
      <c r="Q33" s="47"/>
      <c r="R33" s="47"/>
      <c r="S33" s="47"/>
      <c r="T33" s="47"/>
    </row>
    <row r="34" spans="1:22" s="46" customFormat="1" ht="12.75" customHeight="1" x14ac:dyDescent="0.2">
      <c r="C34" s="16" t="s">
        <v>34</v>
      </c>
      <c r="D34" s="46" t="s">
        <v>10</v>
      </c>
      <c r="E34" s="46" t="s">
        <v>35</v>
      </c>
      <c r="F34" s="46" t="s">
        <v>36</v>
      </c>
      <c r="H34" s="16" t="s">
        <v>37</v>
      </c>
      <c r="I34" s="16" t="s">
        <v>38</v>
      </c>
      <c r="J34" s="16" t="s">
        <v>39</v>
      </c>
      <c r="L34" s="90" t="s">
        <v>40</v>
      </c>
      <c r="M34" s="90"/>
      <c r="N34" s="90"/>
      <c r="O34" s="90"/>
      <c r="P34" s="90"/>
      <c r="Q34" s="90"/>
      <c r="R34" s="48"/>
      <c r="S34" s="48"/>
      <c r="T34" s="48"/>
    </row>
    <row r="35" spans="1:22" s="46" customFormat="1" ht="12" x14ac:dyDescent="0.2">
      <c r="C35" s="23" t="s">
        <v>41</v>
      </c>
      <c r="D35" s="63" t="s">
        <v>42</v>
      </c>
      <c r="E35" s="63" t="s">
        <v>43</v>
      </c>
      <c r="F35" s="63" t="s">
        <v>44</v>
      </c>
      <c r="G35" s="47"/>
      <c r="H35" s="23" t="s">
        <v>45</v>
      </c>
      <c r="I35" s="23" t="s">
        <v>46</v>
      </c>
      <c r="J35" s="23" t="s">
        <v>47</v>
      </c>
      <c r="K35" s="63"/>
      <c r="L35" s="63" t="s">
        <v>48</v>
      </c>
      <c r="M35" s="63" t="s">
        <v>49</v>
      </c>
      <c r="N35" s="63" t="s">
        <v>50</v>
      </c>
      <c r="O35" s="63" t="s">
        <v>51</v>
      </c>
      <c r="P35" s="50"/>
      <c r="Q35" s="63" t="s">
        <v>52</v>
      </c>
    </row>
    <row r="36" spans="1:22" s="42" customFormat="1" x14ac:dyDescent="0.25">
      <c r="A36" s="4">
        <v>43556</v>
      </c>
      <c r="B36" s="39"/>
      <c r="C36" s="36">
        <f>(F14*0.63)+(O14+R14)*0.9</f>
        <v>4640576.1993000004</v>
      </c>
      <c r="D36" s="36">
        <f>(F14*0.37)+(O14+R14)*0.1</f>
        <v>2293229.4107000004</v>
      </c>
      <c r="E36" s="26">
        <v>10061.01</v>
      </c>
      <c r="F36" s="26">
        <f>40000+80.91</f>
        <v>40080.910000000003</v>
      </c>
      <c r="H36" s="36">
        <f>F14*0.37*0.8+(O14+R14)*0.1*0.8+((E36+F36)*0.8)</f>
        <v>1874697.0645600003</v>
      </c>
      <c r="I36" s="36">
        <f>F14*0.37*0.05+(O14+R14)*0.1*0.05+((E36+F36)*0.05)</f>
        <v>117168.56653500002</v>
      </c>
      <c r="J36" s="36">
        <f>F14*0.37*0.05+(O14+R14)*0.1*0.05+((E36+F36)*0.05)</f>
        <v>117168.56653500002</v>
      </c>
      <c r="L36" s="36">
        <f>(F14*0.37*0.1+(O14+R14)*0.1*0.1)*200600/373770+((E36+F36)*0.1*200600/373770)</f>
        <v>125767.26033079704</v>
      </c>
      <c r="M36" s="36">
        <f>(F14*0.37*0.1+(O14+R14)*0.1*0.1)*41600/373770+((E36+F36)*0.1*41600/373770)</f>
        <v>26081.346110474358</v>
      </c>
      <c r="N36" s="36">
        <f>(F14*0.37*0.1+(O14+R14)*0.1*0.1)*9989/373770+((E36+F36)*0.1*9989/373770)</f>
        <v>6262.6578436905857</v>
      </c>
      <c r="O36" s="36">
        <f>(F14*0.37*0.1+(O14+R14)*0.1*0.1)*101564/373770+((E36+F36)*0.1*101564/373770)</f>
        <v>63676.101835678317</v>
      </c>
      <c r="Q36" s="36">
        <f>(F14*0.37*0.1+(O14+R14)*0.1*0.1)*20017/373770+((E36+F36)*0.1*20017/373770)</f>
        <v>12549.76694935974</v>
      </c>
    </row>
    <row r="37" spans="1:22" s="42" customFormat="1" x14ac:dyDescent="0.25">
      <c r="A37" s="4">
        <v>43586</v>
      </c>
      <c r="B37" s="39"/>
      <c r="C37" s="36">
        <f t="shared" ref="C37:C38" si="3">(F15*0.63)+(O15+R15)*0.9</f>
        <v>4959803.1635999996</v>
      </c>
      <c r="D37" s="36">
        <f t="shared" ref="D37:D38" si="4">(F15*0.37)+(O15+R15)*0.1</f>
        <v>2444931.5564000001</v>
      </c>
      <c r="E37" s="26">
        <v>7566.78</v>
      </c>
      <c r="F37" s="26">
        <v>0</v>
      </c>
      <c r="H37" s="36">
        <f>F15*0.37*0.8+(O15+R15)*0.1*0.8+((E37+F37)*0.8)</f>
        <v>1961998.66912</v>
      </c>
      <c r="I37" s="36">
        <f>F15*0.37*0.05+(O15+R15)*0.1*0.05+((E37+F37)*0.05)</f>
        <v>122624.91682</v>
      </c>
      <c r="J37" s="36">
        <f>F15*0.37*0.05+(O15+R15)*0.1*0.05+((E37+F37)*0.05)</f>
        <v>122624.91682</v>
      </c>
      <c r="L37" s="36">
        <f>(F15*0.37*0.1+(O15+R15)*0.1*0.1)*200600/373770+((E37+F37)*0.1*200600/373770)</f>
        <v>131624.03785264734</v>
      </c>
      <c r="M37" s="36">
        <f>(F15*0.37*0.1+(O15+R15)*0.1*0.1)*41600/373770+((E37+F37)*0.1*41600/373770)</f>
        <v>27295.912136939827</v>
      </c>
      <c r="N37" s="36">
        <f>(F15*0.37*0.1+(O15+R15)*0.1*0.1)*9989/373770+((E37+F37)*0.1*9989/373770)</f>
        <v>6554.2996715358631</v>
      </c>
      <c r="O37" s="36">
        <f>(F15*0.37*0.1+(O15+R15)*0.1*0.1)*101564/373770+((E37+F37)*0.1*101564/373770)</f>
        <v>66641.394718176845</v>
      </c>
      <c r="Q37" s="36">
        <f>(F15*0.37*0.1+(O15+R15)*0.1*0.1)*20017/373770+((E37+F37)*0.1*20017/373770)</f>
        <v>13134.18926070011</v>
      </c>
      <c r="U37" s="28"/>
      <c r="V37" s="28"/>
    </row>
    <row r="38" spans="1:22" s="42" customFormat="1" x14ac:dyDescent="0.25">
      <c r="A38" s="4">
        <v>43617</v>
      </c>
      <c r="B38" s="39"/>
      <c r="C38" s="36">
        <f t="shared" si="3"/>
        <v>4713730.0713</v>
      </c>
      <c r="D38" s="36">
        <f t="shared" si="4"/>
        <v>2289171.4386999998</v>
      </c>
      <c r="E38" s="26">
        <v>12704.03</v>
      </c>
      <c r="F38" s="26">
        <v>0</v>
      </c>
      <c r="H38" s="36">
        <f>F16*0.37*0.8+(O16+R16)*0.1*0.8+((E38+F38)*0.8)</f>
        <v>1841500.3749599997</v>
      </c>
      <c r="I38" s="36">
        <f t="shared" ref="I38" si="5">F16*0.37*0.05+(O16+R16)*0.1*0.05+((E38+F38)*0.05)</f>
        <v>115093.77343499998</v>
      </c>
      <c r="J38" s="36">
        <f t="shared" ref="J38" si="6">F16*0.37*0.05+(O16+R16)*0.1*0.05+((E38+F38)*0.05)</f>
        <v>115093.77343499998</v>
      </c>
      <c r="L38" s="36">
        <f t="shared" ref="L38" si="7">(F16*0.37*0.1+(O16+R16)*0.1*0.1)*200600/373770+((E38+F38)*0.1*200600/373770)</f>
        <v>123540.20360682235</v>
      </c>
      <c r="M38" s="36">
        <f t="shared" ref="M38" si="8">(F16*0.37*0.1+(O16+R16)*0.1*0.1)*41600/373770+((E38+F38)*0.1*41600/373770)</f>
        <v>25619.503838702942</v>
      </c>
      <c r="N38" s="36">
        <f t="shared" ref="N38" si="9">(F16*0.37*0.1+(O16+R16)*0.1*0.1)*9989/373770+((E38+F38)*0.1*9989/373770)</f>
        <v>6151.7601885770118</v>
      </c>
      <c r="O38" s="36">
        <f t="shared" ref="O38" si="10">(F16*0.37*0.1+(O16+R16)*0.1*0.1)*101564/373770+((E38+F38)*0.1*101564/373770)</f>
        <v>62548.540573894847</v>
      </c>
      <c r="Q38" s="36">
        <f t="shared" ref="Q38" si="11">(F16*0.37*0.1+(O16+R16)*0.1*0.1)*20017/373770+((E38+F38)*0.1*20017/373770)</f>
        <v>12327.538662002808</v>
      </c>
      <c r="U38" s="28"/>
      <c r="V38" s="28"/>
    </row>
    <row r="39" spans="1:22" s="42" customFormat="1" x14ac:dyDescent="0.25">
      <c r="A39" s="4">
        <v>43647</v>
      </c>
      <c r="B39" s="39"/>
      <c r="C39" s="36">
        <f>(F17*0.63)+(O17+R17+T17)*0.9</f>
        <v>4733454.1184999999</v>
      </c>
      <c r="D39" s="36">
        <f>(F17*0.37)+(O17+R17+T17)*0.1</f>
        <v>2359908.3915000004</v>
      </c>
      <c r="E39" s="26">
        <v>10736.96</v>
      </c>
      <c r="F39" s="26">
        <v>25000</v>
      </c>
      <c r="H39" s="36">
        <f>F17*0.37*0.8+(O17+R17+T17)*0.1*0.8+((E39+F39)*0.8)</f>
        <v>1916516.2812000003</v>
      </c>
      <c r="I39" s="36">
        <f>F17*0.37*0.05+(O17+R17+T17)*0.1*0.05+((E39+F39)*0.05)</f>
        <v>119782.26757500002</v>
      </c>
      <c r="J39" s="36">
        <f>F17*0.37*0.05+(O17+R17+T17)*0.1*0.05+((E39+F39)*0.05)</f>
        <v>119782.26757500002</v>
      </c>
      <c r="L39" s="36">
        <f>(F17*0.37*0.1+(O17+R17+T17)*0.1*0.1)*200600/373770+((E39+F39)*0.1*200600/373770)</f>
        <v>128572.77403507507</v>
      </c>
      <c r="M39" s="36">
        <f>(F17*0.37*0.1+(O17+R17+T17)*0.1*0.1)*41600/373770+((E39+F39)*0.1*41600/373770)</f>
        <v>26663.147556625736</v>
      </c>
      <c r="N39" s="36">
        <f>(F17*0.37*0.1+(O17+R17+T17)*0.1*0.1)*9989/373770+((E39+F39)*0.1*9989/373770)</f>
        <v>6402.3601188253488</v>
      </c>
      <c r="O39" s="36">
        <f>(F17*0.37*0.1+(O17+R17+T17)*0.1*0.1)*101564/373770+((E39+F39)*0.1*101564/373770)</f>
        <v>65096.536500988856</v>
      </c>
      <c r="Q39" s="36">
        <f>(F17*0.37*0.1+(O17+R17+T17)*0.1*0.1)*20017/373770+((E39+F39)*0.1*20017/373770)</f>
        <v>12829.716938485031</v>
      </c>
      <c r="U39" s="28"/>
      <c r="V39" s="28"/>
    </row>
    <row r="40" spans="1:22" s="42" customFormat="1" x14ac:dyDescent="0.25">
      <c r="A40" s="4">
        <v>43678</v>
      </c>
      <c r="B40" s="39"/>
      <c r="C40" s="36">
        <f t="shared" ref="C40:C45" si="12">(F18*0.63)+(O18+R18+T18)*0.9</f>
        <v>4929539.7095999997</v>
      </c>
      <c r="D40" s="36">
        <f t="shared" ref="D40:D45" si="13">(F18*0.37)+(O18+R18+T18)*0.1</f>
        <v>2421642.8004000001</v>
      </c>
      <c r="E40" s="26">
        <v>8222.07</v>
      </c>
      <c r="F40" s="26">
        <v>0</v>
      </c>
      <c r="H40" s="36">
        <f t="shared" ref="H40:H45" si="14">F18*0.37*0.8+(O18+R18+T18)*0.1*0.8+((E40+F40)*0.8)</f>
        <v>1943891.8963200001</v>
      </c>
      <c r="I40" s="36">
        <f t="shared" ref="I40:I45" si="15">F18*0.37*0.05+(O18+R18+T18)*0.1*0.05+((E40+F40)*0.05)</f>
        <v>121493.24352</v>
      </c>
      <c r="J40" s="36">
        <f t="shared" ref="J40:J45" si="16">F18*0.37*0.05+(O18+R18+T18)*0.1*0.05+((E40+F40)*0.05)</f>
        <v>121493.24352</v>
      </c>
      <c r="L40" s="36">
        <f t="shared" ref="L40:L45" si="17">(F18*0.37*0.1+(O18+R18+T18)*0.1*0.1)*200600/373770+((E40+F40)*0.1*200600/373770)</f>
        <v>130409.31401724055</v>
      </c>
      <c r="M40" s="36">
        <f t="shared" ref="M40:M45" si="18">(F18*0.37*0.1+(O18+R18+T18)*0.1*0.1)*41600/373770+((E40+F40)*0.1*41600/373770)</f>
        <v>27044.005299686978</v>
      </c>
      <c r="N40" s="36">
        <f t="shared" ref="N40:N45" si="19">(F18*0.37*0.1+(O18+R18+T18)*0.1*0.1)*9989/373770+((E40+F40)*0.1*9989/373770)</f>
        <v>6493.811753331086</v>
      </c>
      <c r="O40" s="36">
        <f t="shared" ref="O40:O45" si="20">(F18*0.37*0.1+(O18+R18+T18)*0.1*0.1)*101564/373770+((E40+F40)*0.1*101564/373770)</f>
        <v>66026.378708110758</v>
      </c>
      <c r="Q40" s="36">
        <f t="shared" ref="Q40:Q45" si="21">(F18*0.37*0.1+(O18+R18+T18)*0.1*0.1)*20017/373770+((E40+F40)*0.1*20017/373770)</f>
        <v>13012.977261630631</v>
      </c>
      <c r="U40" s="28"/>
      <c r="V40" s="28"/>
    </row>
    <row r="41" spans="1:22" s="42" customFormat="1" x14ac:dyDescent="0.25">
      <c r="A41" s="4">
        <v>43709</v>
      </c>
      <c r="B41" s="39"/>
      <c r="C41" s="36">
        <f t="shared" si="12"/>
        <v>4628405.6558999997</v>
      </c>
      <c r="D41" s="36">
        <f t="shared" si="13"/>
        <v>2244772.6340999999</v>
      </c>
      <c r="E41" s="26">
        <v>9691.51</v>
      </c>
      <c r="F41" s="26">
        <v>0</v>
      </c>
      <c r="G41" s="30"/>
      <c r="H41" s="36">
        <f t="shared" si="14"/>
        <v>1803571.3152800002</v>
      </c>
      <c r="I41" s="36">
        <f t="shared" si="15"/>
        <v>112723.20720500001</v>
      </c>
      <c r="J41" s="36">
        <f t="shared" si="16"/>
        <v>112723.20720500001</v>
      </c>
      <c r="L41" s="36">
        <f t="shared" si="17"/>
        <v>120995.66773857185</v>
      </c>
      <c r="M41" s="36">
        <f t="shared" si="18"/>
        <v>25091.823419364853</v>
      </c>
      <c r="N41" s="36">
        <f t="shared" si="19"/>
        <v>6025.0534648085468</v>
      </c>
      <c r="O41" s="36">
        <f t="shared" si="20"/>
        <v>61260.239273182007</v>
      </c>
      <c r="Q41" s="36">
        <f t="shared" si="21"/>
        <v>12073.630514072745</v>
      </c>
      <c r="U41" s="28"/>
      <c r="V41" s="28"/>
    </row>
    <row r="42" spans="1:22" s="42" customFormat="1" x14ac:dyDescent="0.25">
      <c r="A42" s="4">
        <v>43739</v>
      </c>
      <c r="B42" s="39"/>
      <c r="C42" s="36">
        <f t="shared" ref="C42" si="22">(F20*0.63)+(O20+R20+T20)*0.9</f>
        <v>4621137.6312000006</v>
      </c>
      <c r="D42" s="36">
        <f t="shared" ref="D42" si="23">(F20*0.37)+(O20+R20+T20)*0.1</f>
        <v>2305995.5688000005</v>
      </c>
      <c r="E42" s="26">
        <v>8102.73</v>
      </c>
      <c r="F42" s="26">
        <v>0</v>
      </c>
      <c r="G42" s="30"/>
      <c r="H42" s="36">
        <f t="shared" ref="H42" si="24">F20*0.37*0.8+(O20+R20+T20)*0.1*0.8+((E42+F42)*0.8)</f>
        <v>1851278.63904</v>
      </c>
      <c r="I42" s="36">
        <f t="shared" ref="I42" si="25">F20*0.37*0.05+(O20+R20+T20)*0.1*0.05+((E42+F42)*0.05)</f>
        <v>115704.91494</v>
      </c>
      <c r="J42" s="36">
        <f t="shared" ref="J42" si="26">F20*0.37*0.05+(O20+R20+T20)*0.1*0.05+((E42+F42)*0.05)</f>
        <v>115704.91494</v>
      </c>
      <c r="L42" s="36">
        <f t="shared" ref="L42" si="27">(F20*0.37*0.1+(O20+R20+T20)*0.1*0.1)*200600/373770+((E42+F42)*0.1*200600/373770)</f>
        <v>124196.19518401157</v>
      </c>
      <c r="M42" s="36">
        <f t="shared" ref="M42" si="28">(F20*0.37*0.1+(O20+R20+T20)*0.1*0.1)*41600/373770+((E42+F42)*0.1*41600/373770)</f>
        <v>25755.541972357332</v>
      </c>
      <c r="N42" s="36">
        <f t="shared" ref="N42" si="29">(F20*0.37*0.1+(O20+R20+T20)*0.1*0.1)*9989/373770+((E42+F42)*0.1*9989/373770)</f>
        <v>6184.4256913912841</v>
      </c>
      <c r="O42" s="36">
        <f t="shared" ref="O42" si="30">(F20*0.37*0.1+(O20+R20+T20)*0.1*0.1)*101564/373770+((E42+F42)*0.1*101564/373770)</f>
        <v>62880.669828858183</v>
      </c>
      <c r="Q42" s="36">
        <f t="shared" ref="Q42" si="31">(F20*0.37*0.1+(O20+R20+T20)*0.1*0.1)*20017/373770+((E42+F42)*0.1*20017/373770)</f>
        <v>12392.997203381652</v>
      </c>
      <c r="U42" s="28"/>
      <c r="V42" s="28"/>
    </row>
    <row r="43" spans="1:22" s="42" customFormat="1" x14ac:dyDescent="0.25">
      <c r="A43" s="4">
        <v>43770</v>
      </c>
      <c r="B43" s="39"/>
      <c r="C43" s="36">
        <f t="shared" ref="C43" si="32">(F21*0.63)+(O21+R21+T21)*0.9</f>
        <v>4626702.6183000002</v>
      </c>
      <c r="D43" s="36">
        <f t="shared" ref="D43" si="33">(F21*0.37)+(O21+R21+T21)*0.1</f>
        <v>2216832.9517000001</v>
      </c>
      <c r="E43" s="26">
        <v>4546.17</v>
      </c>
      <c r="F43" s="26">
        <v>0</v>
      </c>
      <c r="G43" s="30"/>
      <c r="H43" s="36">
        <f t="shared" ref="H43" si="34">F21*0.37*0.8+(O21+R21+T21)*0.1*0.8+((E43+F43)*0.8)</f>
        <v>1777103.2973600002</v>
      </c>
      <c r="I43" s="36">
        <f t="shared" ref="I43" si="35">F21*0.37*0.05+(O21+R21+T21)*0.1*0.05+((E43+F43)*0.05)</f>
        <v>111068.95608500001</v>
      </c>
      <c r="J43" s="36">
        <f t="shared" ref="J43" si="36">F21*0.37*0.05+(O21+R21+T21)*0.1*0.05+((E43+F43)*0.05)</f>
        <v>111068.95608500001</v>
      </c>
      <c r="L43" s="36">
        <f t="shared" ref="L43" si="37">(F21*0.37*0.1+(O21+R21+T21)*0.1*0.1)*200600/373770+((E43+F43)*0.1*200600/373770)</f>
        <v>119220.01546753888</v>
      </c>
      <c r="M43" s="36">
        <f t="shared" ref="M43" si="38">(F21*0.37*0.1+(O21+R21+T21)*0.1*0.1)*41600/373770+((E43+F43)*0.1*41600/373770)</f>
        <v>24723.592439928299</v>
      </c>
      <c r="N43" s="36">
        <f t="shared" ref="N43" si="39">(F21*0.37*0.1+(O21+R21+T21)*0.1*0.1)*9989/373770+((E43+F43)*0.1*9989/373770)</f>
        <v>5936.6337712125915</v>
      </c>
      <c r="O43" s="36">
        <f t="shared" ref="O43" si="40">(F21*0.37*0.1+(O21+R21+T21)*0.1*0.1)*101564/373770+((E43+F43)*0.1*101564/373770)</f>
        <v>60361.224580982642</v>
      </c>
      <c r="Q43" s="36">
        <f t="shared" ref="Q43" si="41">(F21*0.37*0.1+(O21+R21+T21)*0.1*0.1)*20017/373770+((E43+F43)*0.1*20017/373770)</f>
        <v>11896.445910337616</v>
      </c>
      <c r="U43" s="28"/>
      <c r="V43" s="28"/>
    </row>
    <row r="44" spans="1:22" s="42" customFormat="1" x14ac:dyDescent="0.25">
      <c r="A44" s="4">
        <v>43800</v>
      </c>
      <c r="B44" s="39"/>
      <c r="C44" s="36">
        <f t="shared" ref="C44" si="42">(F22*0.63)+(O22+R22+T22)*0.9</f>
        <v>4368690.1125000007</v>
      </c>
      <c r="D44" s="36">
        <f t="shared" ref="D44" si="43">(F22*0.37)+(O22+R22+T22)*0.1</f>
        <v>2160801.3975</v>
      </c>
      <c r="E44" s="26">
        <v>5035.9399999999996</v>
      </c>
      <c r="F44" s="26">
        <v>12.4</v>
      </c>
      <c r="G44" s="30"/>
      <c r="H44" s="36">
        <f t="shared" ref="H44" si="44">F22*0.37*0.8+(O22+R22+T22)*0.1*0.8+((E44+F44)*0.8)</f>
        <v>1732679.7900000003</v>
      </c>
      <c r="I44" s="36">
        <f t="shared" ref="I44" si="45">F22*0.37*0.05+(O22+R22+T22)*0.1*0.05+((E44+F44)*0.05)</f>
        <v>108292.48687500002</v>
      </c>
      <c r="J44" s="36">
        <f t="shared" ref="J44" si="46">F22*0.37*0.05+(O22+R22+T22)*0.1*0.05+((E44+F44)*0.05)</f>
        <v>108292.48687500002</v>
      </c>
      <c r="L44" s="36">
        <f t="shared" ref="L44" si="47">(F22*0.37*0.1+(O22+R22+T22)*0.1*0.1)*200600/373770+((E44+F44)*0.1*200600/373770)</f>
        <v>116239.78846416247</v>
      </c>
      <c r="M44" s="36">
        <f t="shared" ref="M44" si="48">(F22*0.37*0.1+(O22+R22+T22)*0.1*0.1)*41600/373770+((E44+F44)*0.1*41600/373770)</f>
        <v>24105.559322578058</v>
      </c>
      <c r="N44" s="36">
        <f t="shared" ref="N44" si="49">(F22*0.37*0.1+(O22+R22+T22)*0.1*0.1)*9989/373770+((E44+F44)*0.1*9989/373770)</f>
        <v>5788.2315402219292</v>
      </c>
      <c r="O44" s="36">
        <f t="shared" ref="O44" si="50">(F22*0.37*0.1+(O22+R22+T22)*0.1*0.1)*101564/373770+((E44+F44)*0.1*101564/373770)</f>
        <v>58852.332380728803</v>
      </c>
      <c r="Q44" s="36">
        <f t="shared" ref="Q44" si="51">(F22*0.37*0.1+(O22+R22+T22)*0.1*0.1)*20017/373770+((E44+F44)*0.1*20017/373770)</f>
        <v>11599.062042308773</v>
      </c>
      <c r="U44" s="28"/>
      <c r="V44" s="28"/>
    </row>
    <row r="45" spans="1:22" s="42" customFormat="1" x14ac:dyDescent="0.25">
      <c r="A45" s="4">
        <v>43831</v>
      </c>
      <c r="B45" s="39"/>
      <c r="C45" s="36">
        <f t="shared" si="12"/>
        <v>4692340.3905000007</v>
      </c>
      <c r="D45" s="36">
        <f t="shared" si="13"/>
        <v>2289495.8995000003</v>
      </c>
      <c r="E45" s="26">
        <v>12116.4</v>
      </c>
      <c r="F45" s="26">
        <v>-6839.5</v>
      </c>
      <c r="G45" s="30"/>
      <c r="H45" s="36">
        <f t="shared" si="14"/>
        <v>1835818.2396000002</v>
      </c>
      <c r="I45" s="36">
        <f t="shared" si="15"/>
        <v>114738.63997500001</v>
      </c>
      <c r="J45" s="36">
        <f t="shared" si="16"/>
        <v>114738.63997500001</v>
      </c>
      <c r="L45" s="36">
        <f t="shared" si="17"/>
        <v>123159.00783361426</v>
      </c>
      <c r="M45" s="36">
        <f t="shared" si="18"/>
        <v>25540.452272574043</v>
      </c>
      <c r="N45" s="36">
        <f t="shared" si="19"/>
        <v>6132.7783113159167</v>
      </c>
      <c r="O45" s="36">
        <f t="shared" si="20"/>
        <v>62355.54073585842</v>
      </c>
      <c r="Q45" s="36">
        <f t="shared" si="21"/>
        <v>12289.500796637371</v>
      </c>
      <c r="U45" s="28"/>
      <c r="V45" s="28"/>
    </row>
    <row r="46" spans="1:22" s="42" customFormat="1" x14ac:dyDescent="0.25">
      <c r="A46" s="4">
        <v>43862</v>
      </c>
      <c r="B46" s="39"/>
      <c r="C46" s="36">
        <f t="shared" ref="C46" si="52">(F24*0.63)+(O24+R24+T24)*0.9</f>
        <v>4717311.3558</v>
      </c>
      <c r="D46" s="36">
        <f t="shared" ref="D46" si="53">(F24*0.37)+(O24+R24+T24)*0.1</f>
        <v>2418832.7441999996</v>
      </c>
      <c r="E46" s="26">
        <v>6910.28</v>
      </c>
      <c r="F46" s="26">
        <v>0</v>
      </c>
      <c r="G46" s="30"/>
      <c r="H46" s="36">
        <f t="shared" ref="H46" si="54">F24*0.37*0.8+(O24+R24+T24)*0.1*0.8+((E46+F46)*0.8)</f>
        <v>1940594.4193599999</v>
      </c>
      <c r="I46" s="36">
        <f t="shared" ref="I46" si="55">F24*0.37*0.05+(O24+R24+T24)*0.1*0.05+((E46+F46)*0.05)</f>
        <v>121287.15121</v>
      </c>
      <c r="J46" s="36">
        <f t="shared" ref="J46" si="56">F24*0.37*0.05+(O24+R24+T24)*0.1*0.05+((E46+F46)*0.05)</f>
        <v>121287.15121</v>
      </c>
      <c r="L46" s="36">
        <f t="shared" ref="L46" si="57">(F24*0.37*0.1+(O24+R24+T24)*0.1*0.1)*200600/373770+((E46+F46)*0.1*200600/373770)</f>
        <v>130188.09713313535</v>
      </c>
      <c r="M46" s="36">
        <f t="shared" ref="M46" si="58">(F24*0.37*0.1+(O24+R24+T24)*0.1*0.1)*41600/373770+((E46+F46)*0.1*41600/373770)</f>
        <v>26998.129814249405</v>
      </c>
      <c r="N46" s="36">
        <f t="shared" ref="N46" si="59">(F24*0.37*0.1+(O24+R24+T24)*0.1*0.1)*9989/373770+((E46+F46)*0.1*9989/373770)</f>
        <v>6482.7961229456077</v>
      </c>
      <c r="O46" s="36">
        <f t="shared" ref="O46" si="60">(F24*0.37*0.1+(O24+R24+T24)*0.1*0.1)*101564/373770+((E46+F46)*0.1*101564/373770)</f>
        <v>65914.376357077563</v>
      </c>
      <c r="Q46" s="36">
        <f t="shared" ref="Q46" si="61">(F24*0.37*0.1+(O24+R24+T24)*0.1*0.1)*20017/373770+((E46+F46)*0.1*20017/373770)</f>
        <v>12990.902992592075</v>
      </c>
      <c r="U46" s="28"/>
      <c r="V46" s="28"/>
    </row>
    <row r="47" spans="1:22" s="42" customFormat="1" x14ac:dyDescent="0.25">
      <c r="A47" s="4">
        <v>43891</v>
      </c>
      <c r="B47" s="39"/>
      <c r="C47" s="36">
        <f t="shared" ref="C47" si="62">(F25*0.63)+(O25+R25+T25)*0.9</f>
        <v>2410978.8230999997</v>
      </c>
      <c r="D47" s="36">
        <f t="shared" ref="D47" si="63">(F25*0.37)+(O25+R25+T25)*0.1</f>
        <v>1187728.2268999999</v>
      </c>
      <c r="E47" s="26">
        <v>7120.97</v>
      </c>
      <c r="F47" s="26">
        <v>0</v>
      </c>
      <c r="G47" s="30"/>
      <c r="H47" s="36">
        <f t="shared" ref="H47" si="64">F25*0.37*0.8+(O25+R25+T25)*0.1*0.8+((E47+F47)*0.8)</f>
        <v>955879.35751999996</v>
      </c>
      <c r="I47" s="36">
        <f t="shared" ref="I47" si="65">F25*0.37*0.05+(O25+R25+T25)*0.1*0.05+((E47+F47)*0.05)</f>
        <v>59742.459844999998</v>
      </c>
      <c r="J47" s="36">
        <f t="shared" ref="J47" si="66">F25*0.37*0.05+(O25+R25+T25)*0.1*0.05+((E47+F47)*0.05)</f>
        <v>59742.459844999998</v>
      </c>
      <c r="L47" s="36">
        <f t="shared" ref="L47" si="67">(F25*0.37*0.1+(O25+R25+T25)*0.1*0.1)*200600/373770+((E47+F47)*0.1*200600/373770)</f>
        <v>64126.802284329933</v>
      </c>
      <c r="M47" s="36">
        <f t="shared" ref="M47" si="68">(F25*0.37*0.1+(O25+R25+T25)*0.1*0.1)*41600/373770+((E47+F47)*0.1*41600/373770)</f>
        <v>13298.479436830137</v>
      </c>
      <c r="N47" s="36">
        <f t="shared" ref="N47" si="69">(F25*0.37*0.1+(O25+R25+T25)*0.1*0.1)*9989/373770+((E47+F47)*0.1*9989/373770)</f>
        <v>3193.233439771544</v>
      </c>
      <c r="O47" s="36">
        <f t="shared" ref="O47" si="70">(F25*0.37*0.1+(O25+R25+T25)*0.1*0.1)*101564/373770+((E47+F47)*0.1*101564/373770)</f>
        <v>32467.470325053269</v>
      </c>
      <c r="Q47" s="36">
        <f t="shared" ref="Q47" si="71">(F25*0.37*0.1+(O25+R25+T25)*0.1*0.1)*20017/373770+((E47+F47)*0.1*20017/373770)</f>
        <v>6398.9342040151159</v>
      </c>
      <c r="U47" s="28"/>
      <c r="V47" s="28"/>
    </row>
    <row r="48" spans="1:22" s="42" customFormat="1" ht="15.75" thickBot="1" x14ac:dyDescent="0.3">
      <c r="A48" s="4" t="s">
        <v>28</v>
      </c>
      <c r="B48" s="39"/>
      <c r="C48" s="51">
        <f t="shared" ref="C48:D48" si="72">SUM(C36:C47)</f>
        <v>54042669.84960001</v>
      </c>
      <c r="D48" s="51">
        <f t="shared" si="72"/>
        <v>26633343.020400003</v>
      </c>
      <c r="E48" s="31">
        <f>SUM(E36:E47)</f>
        <v>102814.84999999999</v>
      </c>
      <c r="F48" s="51">
        <f>SUM(F36:F47)</f>
        <v>58253.810000000005</v>
      </c>
      <c r="G48" s="36"/>
      <c r="H48" s="51">
        <f>SUM(H36:H47)</f>
        <v>21435529.344320003</v>
      </c>
      <c r="I48" s="51">
        <f t="shared" ref="I48:Q48" si="73">SUM(I36:I47)</f>
        <v>1339720.5840200002</v>
      </c>
      <c r="J48" s="51">
        <f t="shared" si="73"/>
        <v>1339720.5840200002</v>
      </c>
      <c r="K48" s="51"/>
      <c r="L48" s="51">
        <f t="shared" si="73"/>
        <v>1438039.1639479466</v>
      </c>
      <c r="M48" s="51">
        <f t="shared" si="73"/>
        <v>298217.49362031196</v>
      </c>
      <c r="N48" s="51">
        <f t="shared" si="73"/>
        <v>71608.041917627314</v>
      </c>
      <c r="O48" s="51">
        <f t="shared" si="73"/>
        <v>728080.80581859045</v>
      </c>
      <c r="P48" s="51"/>
      <c r="Q48" s="51">
        <f t="shared" si="73"/>
        <v>143495.66273552366</v>
      </c>
      <c r="U48" s="28"/>
      <c r="V48" s="28"/>
    </row>
    <row r="49" spans="1:20" s="42" customFormat="1" ht="15.75" thickTop="1" x14ac:dyDescent="0.25">
      <c r="A49" s="39"/>
      <c r="B49" s="39"/>
      <c r="C49" s="36"/>
      <c r="D49" s="40"/>
      <c r="E49" s="40"/>
      <c r="F49" s="40"/>
      <c r="G49" s="40"/>
      <c r="H49" s="40"/>
      <c r="I49" s="40"/>
      <c r="L49" s="40"/>
      <c r="M49" s="40"/>
      <c r="N49" s="40"/>
      <c r="O49" s="40"/>
      <c r="Q49" s="40"/>
    </row>
    <row r="50" spans="1:20" s="42" customFormat="1" x14ac:dyDescent="0.25">
      <c r="A50" s="39"/>
      <c r="B50" s="39"/>
      <c r="C50" s="40">
        <f>C48/V26</f>
        <v>0.66987283985741197</v>
      </c>
      <c r="D50" s="40">
        <f>D48/V26</f>
        <v>0.33012716014258831</v>
      </c>
      <c r="E50" s="40"/>
      <c r="F50" s="40"/>
      <c r="G50" s="40"/>
      <c r="H50" s="40">
        <f>H48/($D$48+$E$48+$F$48)</f>
        <v>0.8</v>
      </c>
      <c r="I50" s="40">
        <f t="shared" ref="I50:Q50" si="74">I48/($D$48+$E$48+$F$48)</f>
        <v>0.05</v>
      </c>
      <c r="J50" s="40">
        <f t="shared" si="74"/>
        <v>0.05</v>
      </c>
      <c r="K50" s="40"/>
      <c r="L50" s="40">
        <f t="shared" si="74"/>
        <v>5.3669368863204642E-2</v>
      </c>
      <c r="M50" s="40">
        <f t="shared" si="74"/>
        <v>1.1129839205928778E-2</v>
      </c>
      <c r="N50" s="40">
        <f t="shared" si="74"/>
        <v>2.672499130481312E-3</v>
      </c>
      <c r="O50" s="40">
        <f t="shared" si="74"/>
        <v>2.7172860315167077E-2</v>
      </c>
      <c r="P50" s="40"/>
      <c r="Q50" s="40">
        <f t="shared" si="74"/>
        <v>5.3554324852181819E-3</v>
      </c>
    </row>
    <row r="51" spans="1:20" s="42" customFormat="1" x14ac:dyDescent="0.25">
      <c r="A51" s="39"/>
      <c r="B51" s="39"/>
      <c r="C51" s="40"/>
      <c r="D51" s="40"/>
      <c r="H51" s="40"/>
      <c r="I51" s="40"/>
      <c r="J51" s="40"/>
      <c r="K51" s="40"/>
      <c r="L51" s="40"/>
      <c r="M51" s="40"/>
      <c r="N51" s="40"/>
      <c r="O51" s="40"/>
      <c r="P51" s="40"/>
      <c r="Q51" s="40"/>
      <c r="R51" s="40"/>
      <c r="S51" s="40"/>
      <c r="T51" s="40"/>
    </row>
    <row r="52" spans="1:20" s="42" customFormat="1" x14ac:dyDescent="0.25">
      <c r="A52" s="52" t="s">
        <v>53</v>
      </c>
      <c r="B52" s="39"/>
      <c r="C52" s="40"/>
      <c r="D52" s="40"/>
      <c r="H52" s="40"/>
      <c r="I52" s="40"/>
      <c r="J52" s="40"/>
      <c r="K52" s="40"/>
      <c r="L52" s="40"/>
      <c r="M52" s="40"/>
      <c r="N52" s="40"/>
      <c r="O52" s="40"/>
      <c r="P52" s="40"/>
      <c r="Q52" s="40"/>
      <c r="R52" s="40"/>
      <c r="S52" s="40"/>
      <c r="T52" s="40"/>
    </row>
    <row r="53" spans="1:20" s="42" customFormat="1" x14ac:dyDescent="0.25">
      <c r="A53" s="53" t="s">
        <v>72</v>
      </c>
      <c r="B53" s="39"/>
      <c r="C53" s="40"/>
      <c r="D53" s="40"/>
      <c r="H53" s="40"/>
      <c r="I53" s="40"/>
      <c r="J53" s="40"/>
      <c r="K53" s="40"/>
      <c r="L53" s="40"/>
      <c r="M53" s="40"/>
      <c r="N53" s="40"/>
      <c r="O53" s="40"/>
      <c r="P53" s="40"/>
      <c r="Q53" s="40"/>
      <c r="R53" s="40"/>
      <c r="S53" s="40"/>
      <c r="T53" s="40"/>
    </row>
    <row r="54" spans="1:20" s="42" customFormat="1" x14ac:dyDescent="0.25">
      <c r="A54" s="53" t="s">
        <v>55</v>
      </c>
      <c r="B54" s="39"/>
      <c r="C54" s="40"/>
      <c r="D54" s="40"/>
      <c r="H54" s="40"/>
      <c r="I54" s="40"/>
      <c r="J54" s="40"/>
      <c r="K54" s="40"/>
      <c r="L54" s="40"/>
      <c r="M54" s="40"/>
      <c r="N54" s="40"/>
      <c r="O54" s="40"/>
      <c r="P54" s="40"/>
      <c r="Q54" s="40"/>
      <c r="R54" s="40"/>
      <c r="S54" s="40"/>
      <c r="T54" s="40"/>
    </row>
    <row r="55" spans="1:20" s="42" customFormat="1" x14ac:dyDescent="0.25">
      <c r="A55" s="53" t="s">
        <v>56</v>
      </c>
      <c r="B55" s="39"/>
      <c r="C55" s="40"/>
      <c r="D55" s="40"/>
      <c r="H55" s="40"/>
      <c r="I55" s="40"/>
      <c r="J55" s="40"/>
      <c r="K55" s="40"/>
      <c r="L55" s="40"/>
      <c r="M55" s="40"/>
      <c r="N55" s="40"/>
      <c r="O55" s="40"/>
      <c r="P55" s="40"/>
      <c r="Q55" s="40"/>
      <c r="R55" s="40"/>
      <c r="S55" s="40"/>
      <c r="T55" s="40"/>
    </row>
    <row r="56" spans="1:20" s="42" customFormat="1" x14ac:dyDescent="0.25">
      <c r="A56" s="53"/>
      <c r="B56" s="39"/>
      <c r="C56" s="40"/>
      <c r="D56" s="40"/>
      <c r="H56" s="40"/>
      <c r="I56" s="40"/>
      <c r="J56" s="40"/>
      <c r="K56" s="40"/>
      <c r="L56" s="40"/>
      <c r="M56" s="40"/>
      <c r="N56" s="40"/>
      <c r="O56" s="40"/>
      <c r="P56" s="40"/>
      <c r="Q56" s="40"/>
      <c r="R56" s="40"/>
      <c r="S56" s="40"/>
      <c r="T56" s="40"/>
    </row>
    <row r="57" spans="1:20" s="42" customFormat="1" x14ac:dyDescent="0.25">
      <c r="A57" s="53" t="s">
        <v>57</v>
      </c>
      <c r="B57" s="39"/>
      <c r="C57" s="40"/>
      <c r="D57" s="54"/>
      <c r="H57" s="40"/>
      <c r="I57" s="40"/>
      <c r="J57" s="40"/>
      <c r="K57" s="40"/>
      <c r="L57" s="40"/>
      <c r="M57" s="40"/>
      <c r="N57" s="40"/>
      <c r="O57" s="40"/>
      <c r="P57" s="40"/>
      <c r="Q57" s="40"/>
      <c r="R57" s="40"/>
      <c r="S57" s="40"/>
      <c r="T57" s="40"/>
    </row>
    <row r="59" spans="1:20" s="42" customFormat="1" x14ac:dyDescent="0.25">
      <c r="A59" s="53" t="s">
        <v>58</v>
      </c>
      <c r="B59" s="39"/>
      <c r="C59" s="40"/>
      <c r="D59" s="54"/>
      <c r="H59" s="40"/>
      <c r="I59" s="40"/>
      <c r="J59" s="40"/>
      <c r="K59" s="40"/>
      <c r="L59" s="40"/>
      <c r="M59" s="40"/>
      <c r="N59" s="40"/>
      <c r="O59" s="40"/>
      <c r="P59" s="40"/>
      <c r="Q59" s="40"/>
      <c r="R59" s="40"/>
      <c r="S59" s="40"/>
      <c r="T59" s="40"/>
    </row>
    <row r="60" spans="1:20" s="42" customFormat="1" x14ac:dyDescent="0.25">
      <c r="A60" s="53" t="s">
        <v>73</v>
      </c>
      <c r="B60" s="39"/>
      <c r="C60" s="40"/>
      <c r="D60" s="54"/>
      <c r="H60" s="40"/>
      <c r="I60" s="40"/>
      <c r="J60" s="40"/>
      <c r="K60" s="40"/>
      <c r="L60" s="40"/>
      <c r="M60" s="40"/>
      <c r="N60" s="40"/>
      <c r="O60" s="40"/>
      <c r="P60" s="40"/>
      <c r="Q60" s="40"/>
      <c r="R60" s="40"/>
      <c r="S60" s="40"/>
      <c r="T60" s="40"/>
    </row>
    <row r="62" spans="1:20" x14ac:dyDescent="0.25">
      <c r="A62" s="53" t="s">
        <v>60</v>
      </c>
    </row>
    <row r="63" spans="1:20" x14ac:dyDescent="0.25">
      <c r="A63" s="53"/>
    </row>
    <row r="64" spans="1:20" x14ac:dyDescent="0.25">
      <c r="A64" s="53" t="s">
        <v>74</v>
      </c>
    </row>
    <row r="65" spans="1:15" x14ac:dyDescent="0.25">
      <c r="A65" s="53"/>
      <c r="B65" s="55"/>
      <c r="C65" s="56"/>
      <c r="D65" s="56"/>
      <c r="E65" s="56"/>
      <c r="F65" s="56"/>
      <c r="G65" s="56"/>
      <c r="H65" s="56"/>
      <c r="I65" s="57"/>
      <c r="J65" s="56"/>
      <c r="K65" s="56"/>
      <c r="L65" s="56"/>
      <c r="M65" s="56"/>
      <c r="N65" s="56"/>
      <c r="O65" s="56"/>
    </row>
    <row r="66" spans="1:15" x14ac:dyDescent="0.25">
      <c r="A66" s="65" t="s">
        <v>68</v>
      </c>
    </row>
    <row r="68" spans="1:15" x14ac:dyDescent="0.25">
      <c r="D68" s="58"/>
    </row>
  </sheetData>
  <mergeCells count="12">
    <mergeCell ref="L34:Q34"/>
    <mergeCell ref="A1:V1"/>
    <mergeCell ref="A2:V2"/>
    <mergeCell ref="A3:V3"/>
    <mergeCell ref="A4:V4"/>
    <mergeCell ref="A5:V5"/>
    <mergeCell ref="A8:V8"/>
    <mergeCell ref="C10:I10"/>
    <mergeCell ref="L10:O10"/>
    <mergeCell ref="Q10:R10"/>
    <mergeCell ref="A30:V30"/>
    <mergeCell ref="H32:Q32"/>
  </mergeCells>
  <hyperlinks>
    <hyperlink ref="A4" r:id="rId1" xr:uid="{00000000-0004-0000-0000-000000000000}"/>
  </hyperlinks>
  <printOptions horizontalCentered="1" verticalCentered="1"/>
  <pageMargins left="0" right="0" top="0.25" bottom="0.25" header="0.3" footer="0.3"/>
  <pageSetup scale="61"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6"/>
  <sheetViews>
    <sheetView topLeftCell="A7" zoomScale="80" zoomScaleNormal="80" workbookViewId="0">
      <selection activeCell="I23" sqref="I23"/>
    </sheetView>
  </sheetViews>
  <sheetFormatPr defaultRowHeight="15" x14ac:dyDescent="0.25"/>
  <cols>
    <col min="1" max="1" width="9.28515625" style="4" customWidth="1"/>
    <col min="2" max="2" width="1.7109375" style="4" customWidth="1"/>
    <col min="3" max="3" width="12.85546875" style="28" customWidth="1"/>
    <col min="4" max="4" width="11.85546875" style="28" customWidth="1"/>
    <col min="5" max="5" width="12.85546875" style="28" customWidth="1"/>
    <col min="6" max="6" width="15.85546875" style="28" customWidth="1"/>
    <col min="7" max="7" width="1.85546875" style="28" customWidth="1"/>
    <col min="8" max="8" width="14.28515625" style="28" customWidth="1"/>
    <col min="9" max="9" width="10.7109375" style="37" customWidth="1"/>
    <col min="10" max="10" width="10.5703125" style="28" customWidth="1"/>
    <col min="11" max="11" width="1.140625" style="28" customWidth="1"/>
    <col min="12" max="12" width="11.85546875" style="28" customWidth="1"/>
    <col min="13" max="13" width="12.7109375" style="28" customWidth="1"/>
    <col min="14" max="14" width="11.5703125" style="28" customWidth="1"/>
    <col min="15" max="15" width="12.42578125" style="28" customWidth="1"/>
    <col min="16" max="16" width="3.7109375" style="28" customWidth="1"/>
    <col min="17" max="17" width="11.42578125" style="28" customWidth="1"/>
    <col min="18" max="18" width="12.140625" style="28" customWidth="1"/>
    <col min="19" max="19" width="3.7109375" style="1" customWidth="1"/>
    <col min="20" max="20" width="14.28515625" style="1" customWidth="1"/>
    <col min="21" max="21" width="9.85546875" style="1" customWidth="1"/>
    <col min="22" max="257" width="8.85546875" style="1"/>
    <col min="258" max="258" width="9.28515625" style="1" customWidth="1"/>
    <col min="259" max="259" width="1.7109375" style="1" customWidth="1"/>
    <col min="260" max="263" width="12" style="1" customWidth="1"/>
    <col min="264" max="264" width="11.85546875" style="1" customWidth="1"/>
    <col min="265" max="265" width="10.7109375" style="1" customWidth="1"/>
    <col min="266" max="266" width="10.5703125" style="1" customWidth="1"/>
    <col min="267" max="267" width="1.140625" style="1" customWidth="1"/>
    <col min="268" max="268" width="11.28515625" style="1" customWidth="1"/>
    <col min="269" max="269" width="12.7109375" style="1" customWidth="1"/>
    <col min="270" max="270" width="11.5703125" style="1" customWidth="1"/>
    <col min="271" max="271" width="12.42578125" style="1" customWidth="1"/>
    <col min="272" max="272" width="1.5703125" style="1" customWidth="1"/>
    <col min="273" max="273" width="11.42578125" style="1" customWidth="1"/>
    <col min="274" max="274" width="12.140625" style="1" customWidth="1"/>
    <col min="275" max="275" width="1.7109375" style="1" customWidth="1"/>
    <col min="276" max="276" width="13.5703125" style="1" customWidth="1"/>
    <col min="277" max="513" width="8.85546875" style="1"/>
    <col min="514" max="514" width="9.28515625" style="1" customWidth="1"/>
    <col min="515" max="515" width="1.7109375" style="1" customWidth="1"/>
    <col min="516" max="519" width="12" style="1" customWidth="1"/>
    <col min="520" max="520" width="11.85546875" style="1" customWidth="1"/>
    <col min="521" max="521" width="10.7109375" style="1" customWidth="1"/>
    <col min="522" max="522" width="10.5703125" style="1" customWidth="1"/>
    <col min="523" max="523" width="1.140625" style="1" customWidth="1"/>
    <col min="524" max="524" width="11.28515625" style="1" customWidth="1"/>
    <col min="525" max="525" width="12.7109375" style="1" customWidth="1"/>
    <col min="526" max="526" width="11.5703125" style="1" customWidth="1"/>
    <col min="527" max="527" width="12.42578125" style="1" customWidth="1"/>
    <col min="528" max="528" width="1.5703125" style="1" customWidth="1"/>
    <col min="529" max="529" width="11.42578125" style="1" customWidth="1"/>
    <col min="530" max="530" width="12.140625" style="1" customWidth="1"/>
    <col min="531" max="531" width="1.7109375" style="1" customWidth="1"/>
    <col min="532" max="532" width="13.5703125" style="1" customWidth="1"/>
    <col min="533" max="769" width="8.85546875" style="1"/>
    <col min="770" max="770" width="9.28515625" style="1" customWidth="1"/>
    <col min="771" max="771" width="1.7109375" style="1" customWidth="1"/>
    <col min="772" max="775" width="12" style="1" customWidth="1"/>
    <col min="776" max="776" width="11.85546875" style="1" customWidth="1"/>
    <col min="777" max="777" width="10.7109375" style="1" customWidth="1"/>
    <col min="778" max="778" width="10.5703125" style="1" customWidth="1"/>
    <col min="779" max="779" width="1.140625" style="1" customWidth="1"/>
    <col min="780" max="780" width="11.28515625" style="1" customWidth="1"/>
    <col min="781" max="781" width="12.7109375" style="1" customWidth="1"/>
    <col min="782" max="782" width="11.5703125" style="1" customWidth="1"/>
    <col min="783" max="783" width="12.42578125" style="1" customWidth="1"/>
    <col min="784" max="784" width="1.5703125" style="1" customWidth="1"/>
    <col min="785" max="785" width="11.42578125" style="1" customWidth="1"/>
    <col min="786" max="786" width="12.140625" style="1" customWidth="1"/>
    <col min="787" max="787" width="1.7109375" style="1" customWidth="1"/>
    <col min="788" max="788" width="13.5703125" style="1" customWidth="1"/>
    <col min="789" max="1025" width="8.85546875" style="1"/>
    <col min="1026" max="1026" width="9.28515625" style="1" customWidth="1"/>
    <col min="1027" max="1027" width="1.7109375" style="1" customWidth="1"/>
    <col min="1028" max="1031" width="12" style="1" customWidth="1"/>
    <col min="1032" max="1032" width="11.85546875" style="1" customWidth="1"/>
    <col min="1033" max="1033" width="10.7109375" style="1" customWidth="1"/>
    <col min="1034" max="1034" width="10.5703125" style="1" customWidth="1"/>
    <col min="1035" max="1035" width="1.140625" style="1" customWidth="1"/>
    <col min="1036" max="1036" width="11.28515625" style="1" customWidth="1"/>
    <col min="1037" max="1037" width="12.7109375" style="1" customWidth="1"/>
    <col min="1038" max="1038" width="11.5703125" style="1" customWidth="1"/>
    <col min="1039" max="1039" width="12.42578125" style="1" customWidth="1"/>
    <col min="1040" max="1040" width="1.5703125" style="1" customWidth="1"/>
    <col min="1041" max="1041" width="11.42578125" style="1" customWidth="1"/>
    <col min="1042" max="1042" width="12.140625" style="1" customWidth="1"/>
    <col min="1043" max="1043" width="1.7109375" style="1" customWidth="1"/>
    <col min="1044" max="1044" width="13.5703125" style="1" customWidth="1"/>
    <col min="1045" max="1281" width="8.85546875" style="1"/>
    <col min="1282" max="1282" width="9.28515625" style="1" customWidth="1"/>
    <col min="1283" max="1283" width="1.7109375" style="1" customWidth="1"/>
    <col min="1284" max="1287" width="12" style="1" customWidth="1"/>
    <col min="1288" max="1288" width="11.85546875" style="1" customWidth="1"/>
    <col min="1289" max="1289" width="10.7109375" style="1" customWidth="1"/>
    <col min="1290" max="1290" width="10.5703125" style="1" customWidth="1"/>
    <col min="1291" max="1291" width="1.140625" style="1" customWidth="1"/>
    <col min="1292" max="1292" width="11.28515625" style="1" customWidth="1"/>
    <col min="1293" max="1293" width="12.7109375" style="1" customWidth="1"/>
    <col min="1294" max="1294" width="11.5703125" style="1" customWidth="1"/>
    <col min="1295" max="1295" width="12.42578125" style="1" customWidth="1"/>
    <col min="1296" max="1296" width="1.5703125" style="1" customWidth="1"/>
    <col min="1297" max="1297" width="11.42578125" style="1" customWidth="1"/>
    <col min="1298" max="1298" width="12.140625" style="1" customWidth="1"/>
    <col min="1299" max="1299" width="1.7109375" style="1" customWidth="1"/>
    <col min="1300" max="1300" width="13.5703125" style="1" customWidth="1"/>
    <col min="1301" max="1537" width="8.85546875" style="1"/>
    <col min="1538" max="1538" width="9.28515625" style="1" customWidth="1"/>
    <col min="1539" max="1539" width="1.7109375" style="1" customWidth="1"/>
    <col min="1540" max="1543" width="12" style="1" customWidth="1"/>
    <col min="1544" max="1544" width="11.85546875" style="1" customWidth="1"/>
    <col min="1545" max="1545" width="10.7109375" style="1" customWidth="1"/>
    <col min="1546" max="1546" width="10.5703125" style="1" customWidth="1"/>
    <col min="1547" max="1547" width="1.140625" style="1" customWidth="1"/>
    <col min="1548" max="1548" width="11.28515625" style="1" customWidth="1"/>
    <col min="1549" max="1549" width="12.7109375" style="1" customWidth="1"/>
    <col min="1550" max="1550" width="11.5703125" style="1" customWidth="1"/>
    <col min="1551" max="1551" width="12.42578125" style="1" customWidth="1"/>
    <col min="1552" max="1552" width="1.5703125" style="1" customWidth="1"/>
    <col min="1553" max="1553" width="11.42578125" style="1" customWidth="1"/>
    <col min="1554" max="1554" width="12.140625" style="1" customWidth="1"/>
    <col min="1555" max="1555" width="1.7109375" style="1" customWidth="1"/>
    <col min="1556" max="1556" width="13.5703125" style="1" customWidth="1"/>
    <col min="1557" max="1793" width="8.85546875" style="1"/>
    <col min="1794" max="1794" width="9.28515625" style="1" customWidth="1"/>
    <col min="1795" max="1795" width="1.7109375" style="1" customWidth="1"/>
    <col min="1796" max="1799" width="12" style="1" customWidth="1"/>
    <col min="1800" max="1800" width="11.85546875" style="1" customWidth="1"/>
    <col min="1801" max="1801" width="10.7109375" style="1" customWidth="1"/>
    <col min="1802" max="1802" width="10.5703125" style="1" customWidth="1"/>
    <col min="1803" max="1803" width="1.140625" style="1" customWidth="1"/>
    <col min="1804" max="1804" width="11.28515625" style="1" customWidth="1"/>
    <col min="1805" max="1805" width="12.7109375" style="1" customWidth="1"/>
    <col min="1806" max="1806" width="11.5703125" style="1" customWidth="1"/>
    <col min="1807" max="1807" width="12.42578125" style="1" customWidth="1"/>
    <col min="1808" max="1808" width="1.5703125" style="1" customWidth="1"/>
    <col min="1809" max="1809" width="11.42578125" style="1" customWidth="1"/>
    <col min="1810" max="1810" width="12.140625" style="1" customWidth="1"/>
    <col min="1811" max="1811" width="1.7109375" style="1" customWidth="1"/>
    <col min="1812" max="1812" width="13.5703125" style="1" customWidth="1"/>
    <col min="1813" max="2049" width="8.85546875" style="1"/>
    <col min="2050" max="2050" width="9.28515625" style="1" customWidth="1"/>
    <col min="2051" max="2051" width="1.7109375" style="1" customWidth="1"/>
    <col min="2052" max="2055" width="12" style="1" customWidth="1"/>
    <col min="2056" max="2056" width="11.85546875" style="1" customWidth="1"/>
    <col min="2057" max="2057" width="10.7109375" style="1" customWidth="1"/>
    <col min="2058" max="2058" width="10.5703125" style="1" customWidth="1"/>
    <col min="2059" max="2059" width="1.140625" style="1" customWidth="1"/>
    <col min="2060" max="2060" width="11.28515625" style="1" customWidth="1"/>
    <col min="2061" max="2061" width="12.7109375" style="1" customWidth="1"/>
    <col min="2062" max="2062" width="11.5703125" style="1" customWidth="1"/>
    <col min="2063" max="2063" width="12.42578125" style="1" customWidth="1"/>
    <col min="2064" max="2064" width="1.5703125" style="1" customWidth="1"/>
    <col min="2065" max="2065" width="11.42578125" style="1" customWidth="1"/>
    <col min="2066" max="2066" width="12.140625" style="1" customWidth="1"/>
    <col min="2067" max="2067" width="1.7109375" style="1" customWidth="1"/>
    <col min="2068" max="2068" width="13.5703125" style="1" customWidth="1"/>
    <col min="2069" max="2305" width="8.85546875" style="1"/>
    <col min="2306" max="2306" width="9.28515625" style="1" customWidth="1"/>
    <col min="2307" max="2307" width="1.7109375" style="1" customWidth="1"/>
    <col min="2308" max="2311" width="12" style="1" customWidth="1"/>
    <col min="2312" max="2312" width="11.85546875" style="1" customWidth="1"/>
    <col min="2313" max="2313" width="10.7109375" style="1" customWidth="1"/>
    <col min="2314" max="2314" width="10.5703125" style="1" customWidth="1"/>
    <col min="2315" max="2315" width="1.140625" style="1" customWidth="1"/>
    <col min="2316" max="2316" width="11.28515625" style="1" customWidth="1"/>
    <col min="2317" max="2317" width="12.7109375" style="1" customWidth="1"/>
    <col min="2318" max="2318" width="11.5703125" style="1" customWidth="1"/>
    <col min="2319" max="2319" width="12.42578125" style="1" customWidth="1"/>
    <col min="2320" max="2320" width="1.5703125" style="1" customWidth="1"/>
    <col min="2321" max="2321" width="11.42578125" style="1" customWidth="1"/>
    <col min="2322" max="2322" width="12.140625" style="1" customWidth="1"/>
    <col min="2323" max="2323" width="1.7109375" style="1" customWidth="1"/>
    <col min="2324" max="2324" width="13.5703125" style="1" customWidth="1"/>
    <col min="2325" max="2561" width="8.85546875" style="1"/>
    <col min="2562" max="2562" width="9.28515625" style="1" customWidth="1"/>
    <col min="2563" max="2563" width="1.7109375" style="1" customWidth="1"/>
    <col min="2564" max="2567" width="12" style="1" customWidth="1"/>
    <col min="2568" max="2568" width="11.85546875" style="1" customWidth="1"/>
    <col min="2569" max="2569" width="10.7109375" style="1" customWidth="1"/>
    <col min="2570" max="2570" width="10.5703125" style="1" customWidth="1"/>
    <col min="2571" max="2571" width="1.140625" style="1" customWidth="1"/>
    <col min="2572" max="2572" width="11.28515625" style="1" customWidth="1"/>
    <col min="2573" max="2573" width="12.7109375" style="1" customWidth="1"/>
    <col min="2574" max="2574" width="11.5703125" style="1" customWidth="1"/>
    <col min="2575" max="2575" width="12.42578125" style="1" customWidth="1"/>
    <col min="2576" max="2576" width="1.5703125" style="1" customWidth="1"/>
    <col min="2577" max="2577" width="11.42578125" style="1" customWidth="1"/>
    <col min="2578" max="2578" width="12.140625" style="1" customWidth="1"/>
    <col min="2579" max="2579" width="1.7109375" style="1" customWidth="1"/>
    <col min="2580" max="2580" width="13.5703125" style="1" customWidth="1"/>
    <col min="2581" max="2817" width="8.85546875" style="1"/>
    <col min="2818" max="2818" width="9.28515625" style="1" customWidth="1"/>
    <col min="2819" max="2819" width="1.7109375" style="1" customWidth="1"/>
    <col min="2820" max="2823" width="12" style="1" customWidth="1"/>
    <col min="2824" max="2824" width="11.85546875" style="1" customWidth="1"/>
    <col min="2825" max="2825" width="10.7109375" style="1" customWidth="1"/>
    <col min="2826" max="2826" width="10.5703125" style="1" customWidth="1"/>
    <col min="2827" max="2827" width="1.140625" style="1" customWidth="1"/>
    <col min="2828" max="2828" width="11.28515625" style="1" customWidth="1"/>
    <col min="2829" max="2829" width="12.7109375" style="1" customWidth="1"/>
    <col min="2830" max="2830" width="11.5703125" style="1" customWidth="1"/>
    <col min="2831" max="2831" width="12.42578125" style="1" customWidth="1"/>
    <col min="2832" max="2832" width="1.5703125" style="1" customWidth="1"/>
    <col min="2833" max="2833" width="11.42578125" style="1" customWidth="1"/>
    <col min="2834" max="2834" width="12.140625" style="1" customWidth="1"/>
    <col min="2835" max="2835" width="1.7109375" style="1" customWidth="1"/>
    <col min="2836" max="2836" width="13.5703125" style="1" customWidth="1"/>
    <col min="2837" max="3073" width="8.85546875" style="1"/>
    <col min="3074" max="3074" width="9.28515625" style="1" customWidth="1"/>
    <col min="3075" max="3075" width="1.7109375" style="1" customWidth="1"/>
    <col min="3076" max="3079" width="12" style="1" customWidth="1"/>
    <col min="3080" max="3080" width="11.85546875" style="1" customWidth="1"/>
    <col min="3081" max="3081" width="10.7109375" style="1" customWidth="1"/>
    <col min="3082" max="3082" width="10.5703125" style="1" customWidth="1"/>
    <col min="3083" max="3083" width="1.140625" style="1" customWidth="1"/>
    <col min="3084" max="3084" width="11.28515625" style="1" customWidth="1"/>
    <col min="3085" max="3085" width="12.7109375" style="1" customWidth="1"/>
    <col min="3086" max="3086" width="11.5703125" style="1" customWidth="1"/>
    <col min="3087" max="3087" width="12.42578125" style="1" customWidth="1"/>
    <col min="3088" max="3088" width="1.5703125" style="1" customWidth="1"/>
    <col min="3089" max="3089" width="11.42578125" style="1" customWidth="1"/>
    <col min="3090" max="3090" width="12.140625" style="1" customWidth="1"/>
    <col min="3091" max="3091" width="1.7109375" style="1" customWidth="1"/>
    <col min="3092" max="3092" width="13.5703125" style="1" customWidth="1"/>
    <col min="3093" max="3329" width="8.85546875" style="1"/>
    <col min="3330" max="3330" width="9.28515625" style="1" customWidth="1"/>
    <col min="3331" max="3331" width="1.7109375" style="1" customWidth="1"/>
    <col min="3332" max="3335" width="12" style="1" customWidth="1"/>
    <col min="3336" max="3336" width="11.85546875" style="1" customWidth="1"/>
    <col min="3337" max="3337" width="10.7109375" style="1" customWidth="1"/>
    <col min="3338" max="3338" width="10.5703125" style="1" customWidth="1"/>
    <col min="3339" max="3339" width="1.140625" style="1" customWidth="1"/>
    <col min="3340" max="3340" width="11.28515625" style="1" customWidth="1"/>
    <col min="3341" max="3341" width="12.7109375" style="1" customWidth="1"/>
    <col min="3342" max="3342" width="11.5703125" style="1" customWidth="1"/>
    <col min="3343" max="3343" width="12.42578125" style="1" customWidth="1"/>
    <col min="3344" max="3344" width="1.5703125" style="1" customWidth="1"/>
    <col min="3345" max="3345" width="11.42578125" style="1" customWidth="1"/>
    <col min="3346" max="3346" width="12.140625" style="1" customWidth="1"/>
    <col min="3347" max="3347" width="1.7109375" style="1" customWidth="1"/>
    <col min="3348" max="3348" width="13.5703125" style="1" customWidth="1"/>
    <col min="3349" max="3585" width="8.85546875" style="1"/>
    <col min="3586" max="3586" width="9.28515625" style="1" customWidth="1"/>
    <col min="3587" max="3587" width="1.7109375" style="1" customWidth="1"/>
    <col min="3588" max="3591" width="12" style="1" customWidth="1"/>
    <col min="3592" max="3592" width="11.85546875" style="1" customWidth="1"/>
    <col min="3593" max="3593" width="10.7109375" style="1" customWidth="1"/>
    <col min="3594" max="3594" width="10.5703125" style="1" customWidth="1"/>
    <col min="3595" max="3595" width="1.140625" style="1" customWidth="1"/>
    <col min="3596" max="3596" width="11.28515625" style="1" customWidth="1"/>
    <col min="3597" max="3597" width="12.7109375" style="1" customWidth="1"/>
    <col min="3598" max="3598" width="11.5703125" style="1" customWidth="1"/>
    <col min="3599" max="3599" width="12.42578125" style="1" customWidth="1"/>
    <col min="3600" max="3600" width="1.5703125" style="1" customWidth="1"/>
    <col min="3601" max="3601" width="11.42578125" style="1" customWidth="1"/>
    <col min="3602" max="3602" width="12.140625" style="1" customWidth="1"/>
    <col min="3603" max="3603" width="1.7109375" style="1" customWidth="1"/>
    <col min="3604" max="3604" width="13.5703125" style="1" customWidth="1"/>
    <col min="3605" max="3841" width="8.85546875" style="1"/>
    <col min="3842" max="3842" width="9.28515625" style="1" customWidth="1"/>
    <col min="3843" max="3843" width="1.7109375" style="1" customWidth="1"/>
    <col min="3844" max="3847" width="12" style="1" customWidth="1"/>
    <col min="3848" max="3848" width="11.85546875" style="1" customWidth="1"/>
    <col min="3849" max="3849" width="10.7109375" style="1" customWidth="1"/>
    <col min="3850" max="3850" width="10.5703125" style="1" customWidth="1"/>
    <col min="3851" max="3851" width="1.140625" style="1" customWidth="1"/>
    <col min="3852" max="3852" width="11.28515625" style="1" customWidth="1"/>
    <col min="3853" max="3853" width="12.7109375" style="1" customWidth="1"/>
    <col min="3854" max="3854" width="11.5703125" style="1" customWidth="1"/>
    <col min="3855" max="3855" width="12.42578125" style="1" customWidth="1"/>
    <col min="3856" max="3856" width="1.5703125" style="1" customWidth="1"/>
    <col min="3857" max="3857" width="11.42578125" style="1" customWidth="1"/>
    <col min="3858" max="3858" width="12.140625" style="1" customWidth="1"/>
    <col min="3859" max="3859" width="1.7109375" style="1" customWidth="1"/>
    <col min="3860" max="3860" width="13.5703125" style="1" customWidth="1"/>
    <col min="3861" max="4097" width="8.85546875" style="1"/>
    <col min="4098" max="4098" width="9.28515625" style="1" customWidth="1"/>
    <col min="4099" max="4099" width="1.7109375" style="1" customWidth="1"/>
    <col min="4100" max="4103" width="12" style="1" customWidth="1"/>
    <col min="4104" max="4104" width="11.85546875" style="1" customWidth="1"/>
    <col min="4105" max="4105" width="10.7109375" style="1" customWidth="1"/>
    <col min="4106" max="4106" width="10.5703125" style="1" customWidth="1"/>
    <col min="4107" max="4107" width="1.140625" style="1" customWidth="1"/>
    <col min="4108" max="4108" width="11.28515625" style="1" customWidth="1"/>
    <col min="4109" max="4109" width="12.7109375" style="1" customWidth="1"/>
    <col min="4110" max="4110" width="11.5703125" style="1" customWidth="1"/>
    <col min="4111" max="4111" width="12.42578125" style="1" customWidth="1"/>
    <col min="4112" max="4112" width="1.5703125" style="1" customWidth="1"/>
    <col min="4113" max="4113" width="11.42578125" style="1" customWidth="1"/>
    <col min="4114" max="4114" width="12.140625" style="1" customWidth="1"/>
    <col min="4115" max="4115" width="1.7109375" style="1" customWidth="1"/>
    <col min="4116" max="4116" width="13.5703125" style="1" customWidth="1"/>
    <col min="4117" max="4353" width="8.85546875" style="1"/>
    <col min="4354" max="4354" width="9.28515625" style="1" customWidth="1"/>
    <col min="4355" max="4355" width="1.7109375" style="1" customWidth="1"/>
    <col min="4356" max="4359" width="12" style="1" customWidth="1"/>
    <col min="4360" max="4360" width="11.85546875" style="1" customWidth="1"/>
    <col min="4361" max="4361" width="10.7109375" style="1" customWidth="1"/>
    <col min="4362" max="4362" width="10.5703125" style="1" customWidth="1"/>
    <col min="4363" max="4363" width="1.140625" style="1" customWidth="1"/>
    <col min="4364" max="4364" width="11.28515625" style="1" customWidth="1"/>
    <col min="4365" max="4365" width="12.7109375" style="1" customWidth="1"/>
    <col min="4366" max="4366" width="11.5703125" style="1" customWidth="1"/>
    <col min="4367" max="4367" width="12.42578125" style="1" customWidth="1"/>
    <col min="4368" max="4368" width="1.5703125" style="1" customWidth="1"/>
    <col min="4369" max="4369" width="11.42578125" style="1" customWidth="1"/>
    <col min="4370" max="4370" width="12.140625" style="1" customWidth="1"/>
    <col min="4371" max="4371" width="1.7109375" style="1" customWidth="1"/>
    <col min="4372" max="4372" width="13.5703125" style="1" customWidth="1"/>
    <col min="4373" max="4609" width="8.85546875" style="1"/>
    <col min="4610" max="4610" width="9.28515625" style="1" customWidth="1"/>
    <col min="4611" max="4611" width="1.7109375" style="1" customWidth="1"/>
    <col min="4612" max="4615" width="12" style="1" customWidth="1"/>
    <col min="4616" max="4616" width="11.85546875" style="1" customWidth="1"/>
    <col min="4617" max="4617" width="10.7109375" style="1" customWidth="1"/>
    <col min="4618" max="4618" width="10.5703125" style="1" customWidth="1"/>
    <col min="4619" max="4619" width="1.140625" style="1" customWidth="1"/>
    <col min="4620" max="4620" width="11.28515625" style="1" customWidth="1"/>
    <col min="4621" max="4621" width="12.7109375" style="1" customWidth="1"/>
    <col min="4622" max="4622" width="11.5703125" style="1" customWidth="1"/>
    <col min="4623" max="4623" width="12.42578125" style="1" customWidth="1"/>
    <col min="4624" max="4624" width="1.5703125" style="1" customWidth="1"/>
    <col min="4625" max="4625" width="11.42578125" style="1" customWidth="1"/>
    <col min="4626" max="4626" width="12.140625" style="1" customWidth="1"/>
    <col min="4627" max="4627" width="1.7109375" style="1" customWidth="1"/>
    <col min="4628" max="4628" width="13.5703125" style="1" customWidth="1"/>
    <col min="4629" max="4865" width="8.85546875" style="1"/>
    <col min="4866" max="4866" width="9.28515625" style="1" customWidth="1"/>
    <col min="4867" max="4867" width="1.7109375" style="1" customWidth="1"/>
    <col min="4868" max="4871" width="12" style="1" customWidth="1"/>
    <col min="4872" max="4872" width="11.85546875" style="1" customWidth="1"/>
    <col min="4873" max="4873" width="10.7109375" style="1" customWidth="1"/>
    <col min="4874" max="4874" width="10.5703125" style="1" customWidth="1"/>
    <col min="4875" max="4875" width="1.140625" style="1" customWidth="1"/>
    <col min="4876" max="4876" width="11.28515625" style="1" customWidth="1"/>
    <col min="4877" max="4877" width="12.7109375" style="1" customWidth="1"/>
    <col min="4878" max="4878" width="11.5703125" style="1" customWidth="1"/>
    <col min="4879" max="4879" width="12.42578125" style="1" customWidth="1"/>
    <col min="4880" max="4880" width="1.5703125" style="1" customWidth="1"/>
    <col min="4881" max="4881" width="11.42578125" style="1" customWidth="1"/>
    <col min="4882" max="4882" width="12.140625" style="1" customWidth="1"/>
    <col min="4883" max="4883" width="1.7109375" style="1" customWidth="1"/>
    <col min="4884" max="4884" width="13.5703125" style="1" customWidth="1"/>
    <col min="4885" max="5121" width="8.85546875" style="1"/>
    <col min="5122" max="5122" width="9.28515625" style="1" customWidth="1"/>
    <col min="5123" max="5123" width="1.7109375" style="1" customWidth="1"/>
    <col min="5124" max="5127" width="12" style="1" customWidth="1"/>
    <col min="5128" max="5128" width="11.85546875" style="1" customWidth="1"/>
    <col min="5129" max="5129" width="10.7109375" style="1" customWidth="1"/>
    <col min="5130" max="5130" width="10.5703125" style="1" customWidth="1"/>
    <col min="5131" max="5131" width="1.140625" style="1" customWidth="1"/>
    <col min="5132" max="5132" width="11.28515625" style="1" customWidth="1"/>
    <col min="5133" max="5133" width="12.7109375" style="1" customWidth="1"/>
    <col min="5134" max="5134" width="11.5703125" style="1" customWidth="1"/>
    <col min="5135" max="5135" width="12.42578125" style="1" customWidth="1"/>
    <col min="5136" max="5136" width="1.5703125" style="1" customWidth="1"/>
    <col min="5137" max="5137" width="11.42578125" style="1" customWidth="1"/>
    <col min="5138" max="5138" width="12.140625" style="1" customWidth="1"/>
    <col min="5139" max="5139" width="1.7109375" style="1" customWidth="1"/>
    <col min="5140" max="5140" width="13.5703125" style="1" customWidth="1"/>
    <col min="5141" max="5377" width="8.85546875" style="1"/>
    <col min="5378" max="5378" width="9.28515625" style="1" customWidth="1"/>
    <col min="5379" max="5379" width="1.7109375" style="1" customWidth="1"/>
    <col min="5380" max="5383" width="12" style="1" customWidth="1"/>
    <col min="5384" max="5384" width="11.85546875" style="1" customWidth="1"/>
    <col min="5385" max="5385" width="10.7109375" style="1" customWidth="1"/>
    <col min="5386" max="5386" width="10.5703125" style="1" customWidth="1"/>
    <col min="5387" max="5387" width="1.140625" style="1" customWidth="1"/>
    <col min="5388" max="5388" width="11.28515625" style="1" customWidth="1"/>
    <col min="5389" max="5389" width="12.7109375" style="1" customWidth="1"/>
    <col min="5390" max="5390" width="11.5703125" style="1" customWidth="1"/>
    <col min="5391" max="5391" width="12.42578125" style="1" customWidth="1"/>
    <col min="5392" max="5392" width="1.5703125" style="1" customWidth="1"/>
    <col min="5393" max="5393" width="11.42578125" style="1" customWidth="1"/>
    <col min="5394" max="5394" width="12.140625" style="1" customWidth="1"/>
    <col min="5395" max="5395" width="1.7109375" style="1" customWidth="1"/>
    <col min="5396" max="5396" width="13.5703125" style="1" customWidth="1"/>
    <col min="5397" max="5633" width="8.85546875" style="1"/>
    <col min="5634" max="5634" width="9.28515625" style="1" customWidth="1"/>
    <col min="5635" max="5635" width="1.7109375" style="1" customWidth="1"/>
    <col min="5636" max="5639" width="12" style="1" customWidth="1"/>
    <col min="5640" max="5640" width="11.85546875" style="1" customWidth="1"/>
    <col min="5641" max="5641" width="10.7109375" style="1" customWidth="1"/>
    <col min="5642" max="5642" width="10.5703125" style="1" customWidth="1"/>
    <col min="5643" max="5643" width="1.140625" style="1" customWidth="1"/>
    <col min="5644" max="5644" width="11.28515625" style="1" customWidth="1"/>
    <col min="5645" max="5645" width="12.7109375" style="1" customWidth="1"/>
    <col min="5646" max="5646" width="11.5703125" style="1" customWidth="1"/>
    <col min="5647" max="5647" width="12.42578125" style="1" customWidth="1"/>
    <col min="5648" max="5648" width="1.5703125" style="1" customWidth="1"/>
    <col min="5649" max="5649" width="11.42578125" style="1" customWidth="1"/>
    <col min="5650" max="5650" width="12.140625" style="1" customWidth="1"/>
    <col min="5651" max="5651" width="1.7109375" style="1" customWidth="1"/>
    <col min="5652" max="5652" width="13.5703125" style="1" customWidth="1"/>
    <col min="5653" max="5889" width="8.85546875" style="1"/>
    <col min="5890" max="5890" width="9.28515625" style="1" customWidth="1"/>
    <col min="5891" max="5891" width="1.7109375" style="1" customWidth="1"/>
    <col min="5892" max="5895" width="12" style="1" customWidth="1"/>
    <col min="5896" max="5896" width="11.85546875" style="1" customWidth="1"/>
    <col min="5897" max="5897" width="10.7109375" style="1" customWidth="1"/>
    <col min="5898" max="5898" width="10.5703125" style="1" customWidth="1"/>
    <col min="5899" max="5899" width="1.140625" style="1" customWidth="1"/>
    <col min="5900" max="5900" width="11.28515625" style="1" customWidth="1"/>
    <col min="5901" max="5901" width="12.7109375" style="1" customWidth="1"/>
    <col min="5902" max="5902" width="11.5703125" style="1" customWidth="1"/>
    <col min="5903" max="5903" width="12.42578125" style="1" customWidth="1"/>
    <col min="5904" max="5904" width="1.5703125" style="1" customWidth="1"/>
    <col min="5905" max="5905" width="11.42578125" style="1" customWidth="1"/>
    <col min="5906" max="5906" width="12.140625" style="1" customWidth="1"/>
    <col min="5907" max="5907" width="1.7109375" style="1" customWidth="1"/>
    <col min="5908" max="5908" width="13.5703125" style="1" customWidth="1"/>
    <col min="5909" max="6145" width="8.85546875" style="1"/>
    <col min="6146" max="6146" width="9.28515625" style="1" customWidth="1"/>
    <col min="6147" max="6147" width="1.7109375" style="1" customWidth="1"/>
    <col min="6148" max="6151" width="12" style="1" customWidth="1"/>
    <col min="6152" max="6152" width="11.85546875" style="1" customWidth="1"/>
    <col min="6153" max="6153" width="10.7109375" style="1" customWidth="1"/>
    <col min="6154" max="6154" width="10.5703125" style="1" customWidth="1"/>
    <col min="6155" max="6155" width="1.140625" style="1" customWidth="1"/>
    <col min="6156" max="6156" width="11.28515625" style="1" customWidth="1"/>
    <col min="6157" max="6157" width="12.7109375" style="1" customWidth="1"/>
    <col min="6158" max="6158" width="11.5703125" style="1" customWidth="1"/>
    <col min="6159" max="6159" width="12.42578125" style="1" customWidth="1"/>
    <col min="6160" max="6160" width="1.5703125" style="1" customWidth="1"/>
    <col min="6161" max="6161" width="11.42578125" style="1" customWidth="1"/>
    <col min="6162" max="6162" width="12.140625" style="1" customWidth="1"/>
    <col min="6163" max="6163" width="1.7109375" style="1" customWidth="1"/>
    <col min="6164" max="6164" width="13.5703125" style="1" customWidth="1"/>
    <col min="6165" max="6401" width="8.85546875" style="1"/>
    <col min="6402" max="6402" width="9.28515625" style="1" customWidth="1"/>
    <col min="6403" max="6403" width="1.7109375" style="1" customWidth="1"/>
    <col min="6404" max="6407" width="12" style="1" customWidth="1"/>
    <col min="6408" max="6408" width="11.85546875" style="1" customWidth="1"/>
    <col min="6409" max="6409" width="10.7109375" style="1" customWidth="1"/>
    <col min="6410" max="6410" width="10.5703125" style="1" customWidth="1"/>
    <col min="6411" max="6411" width="1.140625" style="1" customWidth="1"/>
    <col min="6412" max="6412" width="11.28515625" style="1" customWidth="1"/>
    <col min="6413" max="6413" width="12.7109375" style="1" customWidth="1"/>
    <col min="6414" max="6414" width="11.5703125" style="1" customWidth="1"/>
    <col min="6415" max="6415" width="12.42578125" style="1" customWidth="1"/>
    <col min="6416" max="6416" width="1.5703125" style="1" customWidth="1"/>
    <col min="6417" max="6417" width="11.42578125" style="1" customWidth="1"/>
    <col min="6418" max="6418" width="12.140625" style="1" customWidth="1"/>
    <col min="6419" max="6419" width="1.7109375" style="1" customWidth="1"/>
    <col min="6420" max="6420" width="13.5703125" style="1" customWidth="1"/>
    <col min="6421" max="6657" width="8.85546875" style="1"/>
    <col min="6658" max="6658" width="9.28515625" style="1" customWidth="1"/>
    <col min="6659" max="6659" width="1.7109375" style="1" customWidth="1"/>
    <col min="6660" max="6663" width="12" style="1" customWidth="1"/>
    <col min="6664" max="6664" width="11.85546875" style="1" customWidth="1"/>
    <col min="6665" max="6665" width="10.7109375" style="1" customWidth="1"/>
    <col min="6666" max="6666" width="10.5703125" style="1" customWidth="1"/>
    <col min="6667" max="6667" width="1.140625" style="1" customWidth="1"/>
    <col min="6668" max="6668" width="11.28515625" style="1" customWidth="1"/>
    <col min="6669" max="6669" width="12.7109375" style="1" customWidth="1"/>
    <col min="6670" max="6670" width="11.5703125" style="1" customWidth="1"/>
    <col min="6671" max="6671" width="12.42578125" style="1" customWidth="1"/>
    <col min="6672" max="6672" width="1.5703125" style="1" customWidth="1"/>
    <col min="6673" max="6673" width="11.42578125" style="1" customWidth="1"/>
    <col min="6674" max="6674" width="12.140625" style="1" customWidth="1"/>
    <col min="6675" max="6675" width="1.7109375" style="1" customWidth="1"/>
    <col min="6676" max="6676" width="13.5703125" style="1" customWidth="1"/>
    <col min="6677" max="6913" width="8.85546875" style="1"/>
    <col min="6914" max="6914" width="9.28515625" style="1" customWidth="1"/>
    <col min="6915" max="6915" width="1.7109375" style="1" customWidth="1"/>
    <col min="6916" max="6919" width="12" style="1" customWidth="1"/>
    <col min="6920" max="6920" width="11.85546875" style="1" customWidth="1"/>
    <col min="6921" max="6921" width="10.7109375" style="1" customWidth="1"/>
    <col min="6922" max="6922" width="10.5703125" style="1" customWidth="1"/>
    <col min="6923" max="6923" width="1.140625" style="1" customWidth="1"/>
    <col min="6924" max="6924" width="11.28515625" style="1" customWidth="1"/>
    <col min="6925" max="6925" width="12.7109375" style="1" customWidth="1"/>
    <col min="6926" max="6926" width="11.5703125" style="1" customWidth="1"/>
    <col min="6927" max="6927" width="12.42578125" style="1" customWidth="1"/>
    <col min="6928" max="6928" width="1.5703125" style="1" customWidth="1"/>
    <col min="6929" max="6929" width="11.42578125" style="1" customWidth="1"/>
    <col min="6930" max="6930" width="12.140625" style="1" customWidth="1"/>
    <col min="6931" max="6931" width="1.7109375" style="1" customWidth="1"/>
    <col min="6932" max="6932" width="13.5703125" style="1" customWidth="1"/>
    <col min="6933" max="7169" width="8.85546875" style="1"/>
    <col min="7170" max="7170" width="9.28515625" style="1" customWidth="1"/>
    <col min="7171" max="7171" width="1.7109375" style="1" customWidth="1"/>
    <col min="7172" max="7175" width="12" style="1" customWidth="1"/>
    <col min="7176" max="7176" width="11.85546875" style="1" customWidth="1"/>
    <col min="7177" max="7177" width="10.7109375" style="1" customWidth="1"/>
    <col min="7178" max="7178" width="10.5703125" style="1" customWidth="1"/>
    <col min="7179" max="7179" width="1.140625" style="1" customWidth="1"/>
    <col min="7180" max="7180" width="11.28515625" style="1" customWidth="1"/>
    <col min="7181" max="7181" width="12.7109375" style="1" customWidth="1"/>
    <col min="7182" max="7182" width="11.5703125" style="1" customWidth="1"/>
    <col min="7183" max="7183" width="12.42578125" style="1" customWidth="1"/>
    <col min="7184" max="7184" width="1.5703125" style="1" customWidth="1"/>
    <col min="7185" max="7185" width="11.42578125" style="1" customWidth="1"/>
    <col min="7186" max="7186" width="12.140625" style="1" customWidth="1"/>
    <col min="7187" max="7187" width="1.7109375" style="1" customWidth="1"/>
    <col min="7188" max="7188" width="13.5703125" style="1" customWidth="1"/>
    <col min="7189" max="7425" width="8.85546875" style="1"/>
    <col min="7426" max="7426" width="9.28515625" style="1" customWidth="1"/>
    <col min="7427" max="7427" width="1.7109375" style="1" customWidth="1"/>
    <col min="7428" max="7431" width="12" style="1" customWidth="1"/>
    <col min="7432" max="7432" width="11.85546875" style="1" customWidth="1"/>
    <col min="7433" max="7433" width="10.7109375" style="1" customWidth="1"/>
    <col min="7434" max="7434" width="10.5703125" style="1" customWidth="1"/>
    <col min="7435" max="7435" width="1.140625" style="1" customWidth="1"/>
    <col min="7436" max="7436" width="11.28515625" style="1" customWidth="1"/>
    <col min="7437" max="7437" width="12.7109375" style="1" customWidth="1"/>
    <col min="7438" max="7438" width="11.5703125" style="1" customWidth="1"/>
    <col min="7439" max="7439" width="12.42578125" style="1" customWidth="1"/>
    <col min="7440" max="7440" width="1.5703125" style="1" customWidth="1"/>
    <col min="7441" max="7441" width="11.42578125" style="1" customWidth="1"/>
    <col min="7442" max="7442" width="12.140625" style="1" customWidth="1"/>
    <col min="7443" max="7443" width="1.7109375" style="1" customWidth="1"/>
    <col min="7444" max="7444" width="13.5703125" style="1" customWidth="1"/>
    <col min="7445" max="7681" width="8.85546875" style="1"/>
    <col min="7682" max="7682" width="9.28515625" style="1" customWidth="1"/>
    <col min="7683" max="7683" width="1.7109375" style="1" customWidth="1"/>
    <col min="7684" max="7687" width="12" style="1" customWidth="1"/>
    <col min="7688" max="7688" width="11.85546875" style="1" customWidth="1"/>
    <col min="7689" max="7689" width="10.7109375" style="1" customWidth="1"/>
    <col min="7690" max="7690" width="10.5703125" style="1" customWidth="1"/>
    <col min="7691" max="7691" width="1.140625" style="1" customWidth="1"/>
    <col min="7692" max="7692" width="11.28515625" style="1" customWidth="1"/>
    <col min="7693" max="7693" width="12.7109375" style="1" customWidth="1"/>
    <col min="7694" max="7694" width="11.5703125" style="1" customWidth="1"/>
    <col min="7695" max="7695" width="12.42578125" style="1" customWidth="1"/>
    <col min="7696" max="7696" width="1.5703125" style="1" customWidth="1"/>
    <col min="7697" max="7697" width="11.42578125" style="1" customWidth="1"/>
    <col min="7698" max="7698" width="12.140625" style="1" customWidth="1"/>
    <col min="7699" max="7699" width="1.7109375" style="1" customWidth="1"/>
    <col min="7700" max="7700" width="13.5703125" style="1" customWidth="1"/>
    <col min="7701" max="7937" width="8.85546875" style="1"/>
    <col min="7938" max="7938" width="9.28515625" style="1" customWidth="1"/>
    <col min="7939" max="7939" width="1.7109375" style="1" customWidth="1"/>
    <col min="7940" max="7943" width="12" style="1" customWidth="1"/>
    <col min="7944" max="7944" width="11.85546875" style="1" customWidth="1"/>
    <col min="7945" max="7945" width="10.7109375" style="1" customWidth="1"/>
    <col min="7946" max="7946" width="10.5703125" style="1" customWidth="1"/>
    <col min="7947" max="7947" width="1.140625" style="1" customWidth="1"/>
    <col min="7948" max="7948" width="11.28515625" style="1" customWidth="1"/>
    <col min="7949" max="7949" width="12.7109375" style="1" customWidth="1"/>
    <col min="7950" max="7950" width="11.5703125" style="1" customWidth="1"/>
    <col min="7951" max="7951" width="12.42578125" style="1" customWidth="1"/>
    <col min="7952" max="7952" width="1.5703125" style="1" customWidth="1"/>
    <col min="7953" max="7953" width="11.42578125" style="1" customWidth="1"/>
    <col min="7954" max="7954" width="12.140625" style="1" customWidth="1"/>
    <col min="7955" max="7955" width="1.7109375" style="1" customWidth="1"/>
    <col min="7956" max="7956" width="13.5703125" style="1" customWidth="1"/>
    <col min="7957" max="8193" width="8.85546875" style="1"/>
    <col min="8194" max="8194" width="9.28515625" style="1" customWidth="1"/>
    <col min="8195" max="8195" width="1.7109375" style="1" customWidth="1"/>
    <col min="8196" max="8199" width="12" style="1" customWidth="1"/>
    <col min="8200" max="8200" width="11.85546875" style="1" customWidth="1"/>
    <col min="8201" max="8201" width="10.7109375" style="1" customWidth="1"/>
    <col min="8202" max="8202" width="10.5703125" style="1" customWidth="1"/>
    <col min="8203" max="8203" width="1.140625" style="1" customWidth="1"/>
    <col min="8204" max="8204" width="11.28515625" style="1" customWidth="1"/>
    <col min="8205" max="8205" width="12.7109375" style="1" customWidth="1"/>
    <col min="8206" max="8206" width="11.5703125" style="1" customWidth="1"/>
    <col min="8207" max="8207" width="12.42578125" style="1" customWidth="1"/>
    <col min="8208" max="8208" width="1.5703125" style="1" customWidth="1"/>
    <col min="8209" max="8209" width="11.42578125" style="1" customWidth="1"/>
    <col min="8210" max="8210" width="12.140625" style="1" customWidth="1"/>
    <col min="8211" max="8211" width="1.7109375" style="1" customWidth="1"/>
    <col min="8212" max="8212" width="13.5703125" style="1" customWidth="1"/>
    <col min="8213" max="8449" width="8.85546875" style="1"/>
    <col min="8450" max="8450" width="9.28515625" style="1" customWidth="1"/>
    <col min="8451" max="8451" width="1.7109375" style="1" customWidth="1"/>
    <col min="8452" max="8455" width="12" style="1" customWidth="1"/>
    <col min="8456" max="8456" width="11.85546875" style="1" customWidth="1"/>
    <col min="8457" max="8457" width="10.7109375" style="1" customWidth="1"/>
    <col min="8458" max="8458" width="10.5703125" style="1" customWidth="1"/>
    <col min="8459" max="8459" width="1.140625" style="1" customWidth="1"/>
    <col min="8460" max="8460" width="11.28515625" style="1" customWidth="1"/>
    <col min="8461" max="8461" width="12.7109375" style="1" customWidth="1"/>
    <col min="8462" max="8462" width="11.5703125" style="1" customWidth="1"/>
    <col min="8463" max="8463" width="12.42578125" style="1" customWidth="1"/>
    <col min="8464" max="8464" width="1.5703125" style="1" customWidth="1"/>
    <col min="8465" max="8465" width="11.42578125" style="1" customWidth="1"/>
    <col min="8466" max="8466" width="12.140625" style="1" customWidth="1"/>
    <col min="8467" max="8467" width="1.7109375" style="1" customWidth="1"/>
    <col min="8468" max="8468" width="13.5703125" style="1" customWidth="1"/>
    <col min="8469" max="8705" width="8.85546875" style="1"/>
    <col min="8706" max="8706" width="9.28515625" style="1" customWidth="1"/>
    <col min="8707" max="8707" width="1.7109375" style="1" customWidth="1"/>
    <col min="8708" max="8711" width="12" style="1" customWidth="1"/>
    <col min="8712" max="8712" width="11.85546875" style="1" customWidth="1"/>
    <col min="8713" max="8713" width="10.7109375" style="1" customWidth="1"/>
    <col min="8714" max="8714" width="10.5703125" style="1" customWidth="1"/>
    <col min="8715" max="8715" width="1.140625" style="1" customWidth="1"/>
    <col min="8716" max="8716" width="11.28515625" style="1" customWidth="1"/>
    <col min="8717" max="8717" width="12.7109375" style="1" customWidth="1"/>
    <col min="8718" max="8718" width="11.5703125" style="1" customWidth="1"/>
    <col min="8719" max="8719" width="12.42578125" style="1" customWidth="1"/>
    <col min="8720" max="8720" width="1.5703125" style="1" customWidth="1"/>
    <col min="8721" max="8721" width="11.42578125" style="1" customWidth="1"/>
    <col min="8722" max="8722" width="12.140625" style="1" customWidth="1"/>
    <col min="8723" max="8723" width="1.7109375" style="1" customWidth="1"/>
    <col min="8724" max="8724" width="13.5703125" style="1" customWidth="1"/>
    <col min="8725" max="8961" width="8.85546875" style="1"/>
    <col min="8962" max="8962" width="9.28515625" style="1" customWidth="1"/>
    <col min="8963" max="8963" width="1.7109375" style="1" customWidth="1"/>
    <col min="8964" max="8967" width="12" style="1" customWidth="1"/>
    <col min="8968" max="8968" width="11.85546875" style="1" customWidth="1"/>
    <col min="8969" max="8969" width="10.7109375" style="1" customWidth="1"/>
    <col min="8970" max="8970" width="10.5703125" style="1" customWidth="1"/>
    <col min="8971" max="8971" width="1.140625" style="1" customWidth="1"/>
    <col min="8972" max="8972" width="11.28515625" style="1" customWidth="1"/>
    <col min="8973" max="8973" width="12.7109375" style="1" customWidth="1"/>
    <col min="8974" max="8974" width="11.5703125" style="1" customWidth="1"/>
    <col min="8975" max="8975" width="12.42578125" style="1" customWidth="1"/>
    <col min="8976" max="8976" width="1.5703125" style="1" customWidth="1"/>
    <col min="8977" max="8977" width="11.42578125" style="1" customWidth="1"/>
    <col min="8978" max="8978" width="12.140625" style="1" customWidth="1"/>
    <col min="8979" max="8979" width="1.7109375" style="1" customWidth="1"/>
    <col min="8980" max="8980" width="13.5703125" style="1" customWidth="1"/>
    <col min="8981" max="9217" width="8.85546875" style="1"/>
    <col min="9218" max="9218" width="9.28515625" style="1" customWidth="1"/>
    <col min="9219" max="9219" width="1.7109375" style="1" customWidth="1"/>
    <col min="9220" max="9223" width="12" style="1" customWidth="1"/>
    <col min="9224" max="9224" width="11.85546875" style="1" customWidth="1"/>
    <col min="9225" max="9225" width="10.7109375" style="1" customWidth="1"/>
    <col min="9226" max="9226" width="10.5703125" style="1" customWidth="1"/>
    <col min="9227" max="9227" width="1.140625" style="1" customWidth="1"/>
    <col min="9228" max="9228" width="11.28515625" style="1" customWidth="1"/>
    <col min="9229" max="9229" width="12.7109375" style="1" customWidth="1"/>
    <col min="9230" max="9230" width="11.5703125" style="1" customWidth="1"/>
    <col min="9231" max="9231" width="12.42578125" style="1" customWidth="1"/>
    <col min="9232" max="9232" width="1.5703125" style="1" customWidth="1"/>
    <col min="9233" max="9233" width="11.42578125" style="1" customWidth="1"/>
    <col min="9234" max="9234" width="12.140625" style="1" customWidth="1"/>
    <col min="9235" max="9235" width="1.7109375" style="1" customWidth="1"/>
    <col min="9236" max="9236" width="13.5703125" style="1" customWidth="1"/>
    <col min="9237" max="9473" width="8.85546875" style="1"/>
    <col min="9474" max="9474" width="9.28515625" style="1" customWidth="1"/>
    <col min="9475" max="9475" width="1.7109375" style="1" customWidth="1"/>
    <col min="9476" max="9479" width="12" style="1" customWidth="1"/>
    <col min="9480" max="9480" width="11.85546875" style="1" customWidth="1"/>
    <col min="9481" max="9481" width="10.7109375" style="1" customWidth="1"/>
    <col min="9482" max="9482" width="10.5703125" style="1" customWidth="1"/>
    <col min="9483" max="9483" width="1.140625" style="1" customWidth="1"/>
    <col min="9484" max="9484" width="11.28515625" style="1" customWidth="1"/>
    <col min="9485" max="9485" width="12.7109375" style="1" customWidth="1"/>
    <col min="9486" max="9486" width="11.5703125" style="1" customWidth="1"/>
    <col min="9487" max="9487" width="12.42578125" style="1" customWidth="1"/>
    <col min="9488" max="9488" width="1.5703125" style="1" customWidth="1"/>
    <col min="9489" max="9489" width="11.42578125" style="1" customWidth="1"/>
    <col min="9490" max="9490" width="12.140625" style="1" customWidth="1"/>
    <col min="9491" max="9491" width="1.7109375" style="1" customWidth="1"/>
    <col min="9492" max="9492" width="13.5703125" style="1" customWidth="1"/>
    <col min="9493" max="9729" width="8.85546875" style="1"/>
    <col min="9730" max="9730" width="9.28515625" style="1" customWidth="1"/>
    <col min="9731" max="9731" width="1.7109375" style="1" customWidth="1"/>
    <col min="9732" max="9735" width="12" style="1" customWidth="1"/>
    <col min="9736" max="9736" width="11.85546875" style="1" customWidth="1"/>
    <col min="9737" max="9737" width="10.7109375" style="1" customWidth="1"/>
    <col min="9738" max="9738" width="10.5703125" style="1" customWidth="1"/>
    <col min="9739" max="9739" width="1.140625" style="1" customWidth="1"/>
    <col min="9740" max="9740" width="11.28515625" style="1" customWidth="1"/>
    <col min="9741" max="9741" width="12.7109375" style="1" customWidth="1"/>
    <col min="9742" max="9742" width="11.5703125" style="1" customWidth="1"/>
    <col min="9743" max="9743" width="12.42578125" style="1" customWidth="1"/>
    <col min="9744" max="9744" width="1.5703125" style="1" customWidth="1"/>
    <col min="9745" max="9745" width="11.42578125" style="1" customWidth="1"/>
    <col min="9746" max="9746" width="12.140625" style="1" customWidth="1"/>
    <col min="9747" max="9747" width="1.7109375" style="1" customWidth="1"/>
    <col min="9748" max="9748" width="13.5703125" style="1" customWidth="1"/>
    <col min="9749" max="9985" width="8.85546875" style="1"/>
    <col min="9986" max="9986" width="9.28515625" style="1" customWidth="1"/>
    <col min="9987" max="9987" width="1.7109375" style="1" customWidth="1"/>
    <col min="9988" max="9991" width="12" style="1" customWidth="1"/>
    <col min="9992" max="9992" width="11.85546875" style="1" customWidth="1"/>
    <col min="9993" max="9993" width="10.7109375" style="1" customWidth="1"/>
    <col min="9994" max="9994" width="10.5703125" style="1" customWidth="1"/>
    <col min="9995" max="9995" width="1.140625" style="1" customWidth="1"/>
    <col min="9996" max="9996" width="11.28515625" style="1" customWidth="1"/>
    <col min="9997" max="9997" width="12.7109375" style="1" customWidth="1"/>
    <col min="9998" max="9998" width="11.5703125" style="1" customWidth="1"/>
    <col min="9999" max="9999" width="12.42578125" style="1" customWidth="1"/>
    <col min="10000" max="10000" width="1.5703125" style="1" customWidth="1"/>
    <col min="10001" max="10001" width="11.42578125" style="1" customWidth="1"/>
    <col min="10002" max="10002" width="12.140625" style="1" customWidth="1"/>
    <col min="10003" max="10003" width="1.7109375" style="1" customWidth="1"/>
    <col min="10004" max="10004" width="13.5703125" style="1" customWidth="1"/>
    <col min="10005" max="10241" width="8.85546875" style="1"/>
    <col min="10242" max="10242" width="9.28515625" style="1" customWidth="1"/>
    <col min="10243" max="10243" width="1.7109375" style="1" customWidth="1"/>
    <col min="10244" max="10247" width="12" style="1" customWidth="1"/>
    <col min="10248" max="10248" width="11.85546875" style="1" customWidth="1"/>
    <col min="10249" max="10249" width="10.7109375" style="1" customWidth="1"/>
    <col min="10250" max="10250" width="10.5703125" style="1" customWidth="1"/>
    <col min="10251" max="10251" width="1.140625" style="1" customWidth="1"/>
    <col min="10252" max="10252" width="11.28515625" style="1" customWidth="1"/>
    <col min="10253" max="10253" width="12.7109375" style="1" customWidth="1"/>
    <col min="10254" max="10254" width="11.5703125" style="1" customWidth="1"/>
    <col min="10255" max="10255" width="12.42578125" style="1" customWidth="1"/>
    <col min="10256" max="10256" width="1.5703125" style="1" customWidth="1"/>
    <col min="10257" max="10257" width="11.42578125" style="1" customWidth="1"/>
    <col min="10258" max="10258" width="12.140625" style="1" customWidth="1"/>
    <col min="10259" max="10259" width="1.7109375" style="1" customWidth="1"/>
    <col min="10260" max="10260" width="13.5703125" style="1" customWidth="1"/>
    <col min="10261" max="10497" width="8.85546875" style="1"/>
    <col min="10498" max="10498" width="9.28515625" style="1" customWidth="1"/>
    <col min="10499" max="10499" width="1.7109375" style="1" customWidth="1"/>
    <col min="10500" max="10503" width="12" style="1" customWidth="1"/>
    <col min="10504" max="10504" width="11.85546875" style="1" customWidth="1"/>
    <col min="10505" max="10505" width="10.7109375" style="1" customWidth="1"/>
    <col min="10506" max="10506" width="10.5703125" style="1" customWidth="1"/>
    <col min="10507" max="10507" width="1.140625" style="1" customWidth="1"/>
    <col min="10508" max="10508" width="11.28515625" style="1" customWidth="1"/>
    <col min="10509" max="10509" width="12.7109375" style="1" customWidth="1"/>
    <col min="10510" max="10510" width="11.5703125" style="1" customWidth="1"/>
    <col min="10511" max="10511" width="12.42578125" style="1" customWidth="1"/>
    <col min="10512" max="10512" width="1.5703125" style="1" customWidth="1"/>
    <col min="10513" max="10513" width="11.42578125" style="1" customWidth="1"/>
    <col min="10514" max="10514" width="12.140625" style="1" customWidth="1"/>
    <col min="10515" max="10515" width="1.7109375" style="1" customWidth="1"/>
    <col min="10516" max="10516" width="13.5703125" style="1" customWidth="1"/>
    <col min="10517" max="10753" width="8.85546875" style="1"/>
    <col min="10754" max="10754" width="9.28515625" style="1" customWidth="1"/>
    <col min="10755" max="10755" width="1.7109375" style="1" customWidth="1"/>
    <col min="10756" max="10759" width="12" style="1" customWidth="1"/>
    <col min="10760" max="10760" width="11.85546875" style="1" customWidth="1"/>
    <col min="10761" max="10761" width="10.7109375" style="1" customWidth="1"/>
    <col min="10762" max="10762" width="10.5703125" style="1" customWidth="1"/>
    <col min="10763" max="10763" width="1.140625" style="1" customWidth="1"/>
    <col min="10764" max="10764" width="11.28515625" style="1" customWidth="1"/>
    <col min="10765" max="10765" width="12.7109375" style="1" customWidth="1"/>
    <col min="10766" max="10766" width="11.5703125" style="1" customWidth="1"/>
    <col min="10767" max="10767" width="12.42578125" style="1" customWidth="1"/>
    <col min="10768" max="10768" width="1.5703125" style="1" customWidth="1"/>
    <col min="10769" max="10769" width="11.42578125" style="1" customWidth="1"/>
    <col min="10770" max="10770" width="12.140625" style="1" customWidth="1"/>
    <col min="10771" max="10771" width="1.7109375" style="1" customWidth="1"/>
    <col min="10772" max="10772" width="13.5703125" style="1" customWidth="1"/>
    <col min="10773" max="11009" width="8.85546875" style="1"/>
    <col min="11010" max="11010" width="9.28515625" style="1" customWidth="1"/>
    <col min="11011" max="11011" width="1.7109375" style="1" customWidth="1"/>
    <col min="11012" max="11015" width="12" style="1" customWidth="1"/>
    <col min="11016" max="11016" width="11.85546875" style="1" customWidth="1"/>
    <col min="11017" max="11017" width="10.7109375" style="1" customWidth="1"/>
    <col min="11018" max="11018" width="10.5703125" style="1" customWidth="1"/>
    <col min="11019" max="11019" width="1.140625" style="1" customWidth="1"/>
    <col min="11020" max="11020" width="11.28515625" style="1" customWidth="1"/>
    <col min="11021" max="11021" width="12.7109375" style="1" customWidth="1"/>
    <col min="11022" max="11022" width="11.5703125" style="1" customWidth="1"/>
    <col min="11023" max="11023" width="12.42578125" style="1" customWidth="1"/>
    <col min="11024" max="11024" width="1.5703125" style="1" customWidth="1"/>
    <col min="11025" max="11025" width="11.42578125" style="1" customWidth="1"/>
    <col min="11026" max="11026" width="12.140625" style="1" customWidth="1"/>
    <col min="11027" max="11027" width="1.7109375" style="1" customWidth="1"/>
    <col min="11028" max="11028" width="13.5703125" style="1" customWidth="1"/>
    <col min="11029" max="11265" width="8.85546875" style="1"/>
    <col min="11266" max="11266" width="9.28515625" style="1" customWidth="1"/>
    <col min="11267" max="11267" width="1.7109375" style="1" customWidth="1"/>
    <col min="11268" max="11271" width="12" style="1" customWidth="1"/>
    <col min="11272" max="11272" width="11.85546875" style="1" customWidth="1"/>
    <col min="11273" max="11273" width="10.7109375" style="1" customWidth="1"/>
    <col min="11274" max="11274" width="10.5703125" style="1" customWidth="1"/>
    <col min="11275" max="11275" width="1.140625" style="1" customWidth="1"/>
    <col min="11276" max="11276" width="11.28515625" style="1" customWidth="1"/>
    <col min="11277" max="11277" width="12.7109375" style="1" customWidth="1"/>
    <col min="11278" max="11278" width="11.5703125" style="1" customWidth="1"/>
    <col min="11279" max="11279" width="12.42578125" style="1" customWidth="1"/>
    <col min="11280" max="11280" width="1.5703125" style="1" customWidth="1"/>
    <col min="11281" max="11281" width="11.42578125" style="1" customWidth="1"/>
    <col min="11282" max="11282" width="12.140625" style="1" customWidth="1"/>
    <col min="11283" max="11283" width="1.7109375" style="1" customWidth="1"/>
    <col min="11284" max="11284" width="13.5703125" style="1" customWidth="1"/>
    <col min="11285" max="11521" width="8.85546875" style="1"/>
    <col min="11522" max="11522" width="9.28515625" style="1" customWidth="1"/>
    <col min="11523" max="11523" width="1.7109375" style="1" customWidth="1"/>
    <col min="11524" max="11527" width="12" style="1" customWidth="1"/>
    <col min="11528" max="11528" width="11.85546875" style="1" customWidth="1"/>
    <col min="11529" max="11529" width="10.7109375" style="1" customWidth="1"/>
    <col min="11530" max="11530" width="10.5703125" style="1" customWidth="1"/>
    <col min="11531" max="11531" width="1.140625" style="1" customWidth="1"/>
    <col min="11532" max="11532" width="11.28515625" style="1" customWidth="1"/>
    <col min="11533" max="11533" width="12.7109375" style="1" customWidth="1"/>
    <col min="11534" max="11534" width="11.5703125" style="1" customWidth="1"/>
    <col min="11535" max="11535" width="12.42578125" style="1" customWidth="1"/>
    <col min="11536" max="11536" width="1.5703125" style="1" customWidth="1"/>
    <col min="11537" max="11537" width="11.42578125" style="1" customWidth="1"/>
    <col min="11538" max="11538" width="12.140625" style="1" customWidth="1"/>
    <col min="11539" max="11539" width="1.7109375" style="1" customWidth="1"/>
    <col min="11540" max="11540" width="13.5703125" style="1" customWidth="1"/>
    <col min="11541" max="11777" width="8.85546875" style="1"/>
    <col min="11778" max="11778" width="9.28515625" style="1" customWidth="1"/>
    <col min="11779" max="11779" width="1.7109375" style="1" customWidth="1"/>
    <col min="11780" max="11783" width="12" style="1" customWidth="1"/>
    <col min="11784" max="11784" width="11.85546875" style="1" customWidth="1"/>
    <col min="11785" max="11785" width="10.7109375" style="1" customWidth="1"/>
    <col min="11786" max="11786" width="10.5703125" style="1" customWidth="1"/>
    <col min="11787" max="11787" width="1.140625" style="1" customWidth="1"/>
    <col min="11788" max="11788" width="11.28515625" style="1" customWidth="1"/>
    <col min="11789" max="11789" width="12.7109375" style="1" customWidth="1"/>
    <col min="11790" max="11790" width="11.5703125" style="1" customWidth="1"/>
    <col min="11791" max="11791" width="12.42578125" style="1" customWidth="1"/>
    <col min="11792" max="11792" width="1.5703125" style="1" customWidth="1"/>
    <col min="11793" max="11793" width="11.42578125" style="1" customWidth="1"/>
    <col min="11794" max="11794" width="12.140625" style="1" customWidth="1"/>
    <col min="11795" max="11795" width="1.7109375" style="1" customWidth="1"/>
    <col min="11796" max="11796" width="13.5703125" style="1" customWidth="1"/>
    <col min="11797" max="12033" width="8.85546875" style="1"/>
    <col min="12034" max="12034" width="9.28515625" style="1" customWidth="1"/>
    <col min="12035" max="12035" width="1.7109375" style="1" customWidth="1"/>
    <col min="12036" max="12039" width="12" style="1" customWidth="1"/>
    <col min="12040" max="12040" width="11.85546875" style="1" customWidth="1"/>
    <col min="12041" max="12041" width="10.7109375" style="1" customWidth="1"/>
    <col min="12042" max="12042" width="10.5703125" style="1" customWidth="1"/>
    <col min="12043" max="12043" width="1.140625" style="1" customWidth="1"/>
    <col min="12044" max="12044" width="11.28515625" style="1" customWidth="1"/>
    <col min="12045" max="12045" width="12.7109375" style="1" customWidth="1"/>
    <col min="12046" max="12046" width="11.5703125" style="1" customWidth="1"/>
    <col min="12047" max="12047" width="12.42578125" style="1" customWidth="1"/>
    <col min="12048" max="12048" width="1.5703125" style="1" customWidth="1"/>
    <col min="12049" max="12049" width="11.42578125" style="1" customWidth="1"/>
    <col min="12050" max="12050" width="12.140625" style="1" customWidth="1"/>
    <col min="12051" max="12051" width="1.7109375" style="1" customWidth="1"/>
    <col min="12052" max="12052" width="13.5703125" style="1" customWidth="1"/>
    <col min="12053" max="12289" width="8.85546875" style="1"/>
    <col min="12290" max="12290" width="9.28515625" style="1" customWidth="1"/>
    <col min="12291" max="12291" width="1.7109375" style="1" customWidth="1"/>
    <col min="12292" max="12295" width="12" style="1" customWidth="1"/>
    <col min="12296" max="12296" width="11.85546875" style="1" customWidth="1"/>
    <col min="12297" max="12297" width="10.7109375" style="1" customWidth="1"/>
    <col min="12298" max="12298" width="10.5703125" style="1" customWidth="1"/>
    <col min="12299" max="12299" width="1.140625" style="1" customWidth="1"/>
    <col min="12300" max="12300" width="11.28515625" style="1" customWidth="1"/>
    <col min="12301" max="12301" width="12.7109375" style="1" customWidth="1"/>
    <col min="12302" max="12302" width="11.5703125" style="1" customWidth="1"/>
    <col min="12303" max="12303" width="12.42578125" style="1" customWidth="1"/>
    <col min="12304" max="12304" width="1.5703125" style="1" customWidth="1"/>
    <col min="12305" max="12305" width="11.42578125" style="1" customWidth="1"/>
    <col min="12306" max="12306" width="12.140625" style="1" customWidth="1"/>
    <col min="12307" max="12307" width="1.7109375" style="1" customWidth="1"/>
    <col min="12308" max="12308" width="13.5703125" style="1" customWidth="1"/>
    <col min="12309" max="12545" width="8.85546875" style="1"/>
    <col min="12546" max="12546" width="9.28515625" style="1" customWidth="1"/>
    <col min="12547" max="12547" width="1.7109375" style="1" customWidth="1"/>
    <col min="12548" max="12551" width="12" style="1" customWidth="1"/>
    <col min="12552" max="12552" width="11.85546875" style="1" customWidth="1"/>
    <col min="12553" max="12553" width="10.7109375" style="1" customWidth="1"/>
    <col min="12554" max="12554" width="10.5703125" style="1" customWidth="1"/>
    <col min="12555" max="12555" width="1.140625" style="1" customWidth="1"/>
    <col min="12556" max="12556" width="11.28515625" style="1" customWidth="1"/>
    <col min="12557" max="12557" width="12.7109375" style="1" customWidth="1"/>
    <col min="12558" max="12558" width="11.5703125" style="1" customWidth="1"/>
    <col min="12559" max="12559" width="12.42578125" style="1" customWidth="1"/>
    <col min="12560" max="12560" width="1.5703125" style="1" customWidth="1"/>
    <col min="12561" max="12561" width="11.42578125" style="1" customWidth="1"/>
    <col min="12562" max="12562" width="12.140625" style="1" customWidth="1"/>
    <col min="12563" max="12563" width="1.7109375" style="1" customWidth="1"/>
    <col min="12564" max="12564" width="13.5703125" style="1" customWidth="1"/>
    <col min="12565" max="12801" width="8.85546875" style="1"/>
    <col min="12802" max="12802" width="9.28515625" style="1" customWidth="1"/>
    <col min="12803" max="12803" width="1.7109375" style="1" customWidth="1"/>
    <col min="12804" max="12807" width="12" style="1" customWidth="1"/>
    <col min="12808" max="12808" width="11.85546875" style="1" customWidth="1"/>
    <col min="12809" max="12809" width="10.7109375" style="1" customWidth="1"/>
    <col min="12810" max="12810" width="10.5703125" style="1" customWidth="1"/>
    <col min="12811" max="12811" width="1.140625" style="1" customWidth="1"/>
    <col min="12812" max="12812" width="11.28515625" style="1" customWidth="1"/>
    <col min="12813" max="12813" width="12.7109375" style="1" customWidth="1"/>
    <col min="12814" max="12814" width="11.5703125" style="1" customWidth="1"/>
    <col min="12815" max="12815" width="12.42578125" style="1" customWidth="1"/>
    <col min="12816" max="12816" width="1.5703125" style="1" customWidth="1"/>
    <col min="12817" max="12817" width="11.42578125" style="1" customWidth="1"/>
    <col min="12818" max="12818" width="12.140625" style="1" customWidth="1"/>
    <col min="12819" max="12819" width="1.7109375" style="1" customWidth="1"/>
    <col min="12820" max="12820" width="13.5703125" style="1" customWidth="1"/>
    <col min="12821" max="13057" width="8.85546875" style="1"/>
    <col min="13058" max="13058" width="9.28515625" style="1" customWidth="1"/>
    <col min="13059" max="13059" width="1.7109375" style="1" customWidth="1"/>
    <col min="13060" max="13063" width="12" style="1" customWidth="1"/>
    <col min="13064" max="13064" width="11.85546875" style="1" customWidth="1"/>
    <col min="13065" max="13065" width="10.7109375" style="1" customWidth="1"/>
    <col min="13066" max="13066" width="10.5703125" style="1" customWidth="1"/>
    <col min="13067" max="13067" width="1.140625" style="1" customWidth="1"/>
    <col min="13068" max="13068" width="11.28515625" style="1" customWidth="1"/>
    <col min="13069" max="13069" width="12.7109375" style="1" customWidth="1"/>
    <col min="13070" max="13070" width="11.5703125" style="1" customWidth="1"/>
    <col min="13071" max="13071" width="12.42578125" style="1" customWidth="1"/>
    <col min="13072" max="13072" width="1.5703125" style="1" customWidth="1"/>
    <col min="13073" max="13073" width="11.42578125" style="1" customWidth="1"/>
    <col min="13074" max="13074" width="12.140625" style="1" customWidth="1"/>
    <col min="13075" max="13075" width="1.7109375" style="1" customWidth="1"/>
    <col min="13076" max="13076" width="13.5703125" style="1" customWidth="1"/>
    <col min="13077" max="13313" width="8.85546875" style="1"/>
    <col min="13314" max="13314" width="9.28515625" style="1" customWidth="1"/>
    <col min="13315" max="13315" width="1.7109375" style="1" customWidth="1"/>
    <col min="13316" max="13319" width="12" style="1" customWidth="1"/>
    <col min="13320" max="13320" width="11.85546875" style="1" customWidth="1"/>
    <col min="13321" max="13321" width="10.7109375" style="1" customWidth="1"/>
    <col min="13322" max="13322" width="10.5703125" style="1" customWidth="1"/>
    <col min="13323" max="13323" width="1.140625" style="1" customWidth="1"/>
    <col min="13324" max="13324" width="11.28515625" style="1" customWidth="1"/>
    <col min="13325" max="13325" width="12.7109375" style="1" customWidth="1"/>
    <col min="13326" max="13326" width="11.5703125" style="1" customWidth="1"/>
    <col min="13327" max="13327" width="12.42578125" style="1" customWidth="1"/>
    <col min="13328" max="13328" width="1.5703125" style="1" customWidth="1"/>
    <col min="13329" max="13329" width="11.42578125" style="1" customWidth="1"/>
    <col min="13330" max="13330" width="12.140625" style="1" customWidth="1"/>
    <col min="13331" max="13331" width="1.7109375" style="1" customWidth="1"/>
    <col min="13332" max="13332" width="13.5703125" style="1" customWidth="1"/>
    <col min="13333" max="13569" width="8.85546875" style="1"/>
    <col min="13570" max="13570" width="9.28515625" style="1" customWidth="1"/>
    <col min="13571" max="13571" width="1.7109375" style="1" customWidth="1"/>
    <col min="13572" max="13575" width="12" style="1" customWidth="1"/>
    <col min="13576" max="13576" width="11.85546875" style="1" customWidth="1"/>
    <col min="13577" max="13577" width="10.7109375" style="1" customWidth="1"/>
    <col min="13578" max="13578" width="10.5703125" style="1" customWidth="1"/>
    <col min="13579" max="13579" width="1.140625" style="1" customWidth="1"/>
    <col min="13580" max="13580" width="11.28515625" style="1" customWidth="1"/>
    <col min="13581" max="13581" width="12.7109375" style="1" customWidth="1"/>
    <col min="13582" max="13582" width="11.5703125" style="1" customWidth="1"/>
    <col min="13583" max="13583" width="12.42578125" style="1" customWidth="1"/>
    <col min="13584" max="13584" width="1.5703125" style="1" customWidth="1"/>
    <col min="13585" max="13585" width="11.42578125" style="1" customWidth="1"/>
    <col min="13586" max="13586" width="12.140625" style="1" customWidth="1"/>
    <col min="13587" max="13587" width="1.7109375" style="1" customWidth="1"/>
    <col min="13588" max="13588" width="13.5703125" style="1" customWidth="1"/>
    <col min="13589" max="13825" width="8.85546875" style="1"/>
    <col min="13826" max="13826" width="9.28515625" style="1" customWidth="1"/>
    <col min="13827" max="13827" width="1.7109375" style="1" customWidth="1"/>
    <col min="13828" max="13831" width="12" style="1" customWidth="1"/>
    <col min="13832" max="13832" width="11.85546875" style="1" customWidth="1"/>
    <col min="13833" max="13833" width="10.7109375" style="1" customWidth="1"/>
    <col min="13834" max="13834" width="10.5703125" style="1" customWidth="1"/>
    <col min="13835" max="13835" width="1.140625" style="1" customWidth="1"/>
    <col min="13836" max="13836" width="11.28515625" style="1" customWidth="1"/>
    <col min="13837" max="13837" width="12.7109375" style="1" customWidth="1"/>
    <col min="13838" max="13838" width="11.5703125" style="1" customWidth="1"/>
    <col min="13839" max="13839" width="12.42578125" style="1" customWidth="1"/>
    <col min="13840" max="13840" width="1.5703125" style="1" customWidth="1"/>
    <col min="13841" max="13841" width="11.42578125" style="1" customWidth="1"/>
    <col min="13842" max="13842" width="12.140625" style="1" customWidth="1"/>
    <col min="13843" max="13843" width="1.7109375" style="1" customWidth="1"/>
    <col min="13844" max="13844" width="13.5703125" style="1" customWidth="1"/>
    <col min="13845" max="14081" width="8.85546875" style="1"/>
    <col min="14082" max="14082" width="9.28515625" style="1" customWidth="1"/>
    <col min="14083" max="14083" width="1.7109375" style="1" customWidth="1"/>
    <col min="14084" max="14087" width="12" style="1" customWidth="1"/>
    <col min="14088" max="14088" width="11.85546875" style="1" customWidth="1"/>
    <col min="14089" max="14089" width="10.7109375" style="1" customWidth="1"/>
    <col min="14090" max="14090" width="10.5703125" style="1" customWidth="1"/>
    <col min="14091" max="14091" width="1.140625" style="1" customWidth="1"/>
    <col min="14092" max="14092" width="11.28515625" style="1" customWidth="1"/>
    <col min="14093" max="14093" width="12.7109375" style="1" customWidth="1"/>
    <col min="14094" max="14094" width="11.5703125" style="1" customWidth="1"/>
    <col min="14095" max="14095" width="12.42578125" style="1" customWidth="1"/>
    <col min="14096" max="14096" width="1.5703125" style="1" customWidth="1"/>
    <col min="14097" max="14097" width="11.42578125" style="1" customWidth="1"/>
    <col min="14098" max="14098" width="12.140625" style="1" customWidth="1"/>
    <col min="14099" max="14099" width="1.7109375" style="1" customWidth="1"/>
    <col min="14100" max="14100" width="13.5703125" style="1" customWidth="1"/>
    <col min="14101" max="14337" width="8.85546875" style="1"/>
    <col min="14338" max="14338" width="9.28515625" style="1" customWidth="1"/>
    <col min="14339" max="14339" width="1.7109375" style="1" customWidth="1"/>
    <col min="14340" max="14343" width="12" style="1" customWidth="1"/>
    <col min="14344" max="14344" width="11.85546875" style="1" customWidth="1"/>
    <col min="14345" max="14345" width="10.7109375" style="1" customWidth="1"/>
    <col min="14346" max="14346" width="10.5703125" style="1" customWidth="1"/>
    <col min="14347" max="14347" width="1.140625" style="1" customWidth="1"/>
    <col min="14348" max="14348" width="11.28515625" style="1" customWidth="1"/>
    <col min="14349" max="14349" width="12.7109375" style="1" customWidth="1"/>
    <col min="14350" max="14350" width="11.5703125" style="1" customWidth="1"/>
    <col min="14351" max="14351" width="12.42578125" style="1" customWidth="1"/>
    <col min="14352" max="14352" width="1.5703125" style="1" customWidth="1"/>
    <col min="14353" max="14353" width="11.42578125" style="1" customWidth="1"/>
    <col min="14354" max="14354" width="12.140625" style="1" customWidth="1"/>
    <col min="14355" max="14355" width="1.7109375" style="1" customWidth="1"/>
    <col min="14356" max="14356" width="13.5703125" style="1" customWidth="1"/>
    <col min="14357" max="14593" width="8.85546875" style="1"/>
    <col min="14594" max="14594" width="9.28515625" style="1" customWidth="1"/>
    <col min="14595" max="14595" width="1.7109375" style="1" customWidth="1"/>
    <col min="14596" max="14599" width="12" style="1" customWidth="1"/>
    <col min="14600" max="14600" width="11.85546875" style="1" customWidth="1"/>
    <col min="14601" max="14601" width="10.7109375" style="1" customWidth="1"/>
    <col min="14602" max="14602" width="10.5703125" style="1" customWidth="1"/>
    <col min="14603" max="14603" width="1.140625" style="1" customWidth="1"/>
    <col min="14604" max="14604" width="11.28515625" style="1" customWidth="1"/>
    <col min="14605" max="14605" width="12.7109375" style="1" customWidth="1"/>
    <col min="14606" max="14606" width="11.5703125" style="1" customWidth="1"/>
    <col min="14607" max="14607" width="12.42578125" style="1" customWidth="1"/>
    <col min="14608" max="14608" width="1.5703125" style="1" customWidth="1"/>
    <col min="14609" max="14609" width="11.42578125" style="1" customWidth="1"/>
    <col min="14610" max="14610" width="12.140625" style="1" customWidth="1"/>
    <col min="14611" max="14611" width="1.7109375" style="1" customWidth="1"/>
    <col min="14612" max="14612" width="13.5703125" style="1" customWidth="1"/>
    <col min="14613" max="14849" width="8.85546875" style="1"/>
    <col min="14850" max="14850" width="9.28515625" style="1" customWidth="1"/>
    <col min="14851" max="14851" width="1.7109375" style="1" customWidth="1"/>
    <col min="14852" max="14855" width="12" style="1" customWidth="1"/>
    <col min="14856" max="14856" width="11.85546875" style="1" customWidth="1"/>
    <col min="14857" max="14857" width="10.7109375" style="1" customWidth="1"/>
    <col min="14858" max="14858" width="10.5703125" style="1" customWidth="1"/>
    <col min="14859" max="14859" width="1.140625" style="1" customWidth="1"/>
    <col min="14860" max="14860" width="11.28515625" style="1" customWidth="1"/>
    <col min="14861" max="14861" width="12.7109375" style="1" customWidth="1"/>
    <col min="14862" max="14862" width="11.5703125" style="1" customWidth="1"/>
    <col min="14863" max="14863" width="12.42578125" style="1" customWidth="1"/>
    <col min="14864" max="14864" width="1.5703125" style="1" customWidth="1"/>
    <col min="14865" max="14865" width="11.42578125" style="1" customWidth="1"/>
    <col min="14866" max="14866" width="12.140625" style="1" customWidth="1"/>
    <col min="14867" max="14867" width="1.7109375" style="1" customWidth="1"/>
    <col min="14868" max="14868" width="13.5703125" style="1" customWidth="1"/>
    <col min="14869" max="15105" width="8.85546875" style="1"/>
    <col min="15106" max="15106" width="9.28515625" style="1" customWidth="1"/>
    <col min="15107" max="15107" width="1.7109375" style="1" customWidth="1"/>
    <col min="15108" max="15111" width="12" style="1" customWidth="1"/>
    <col min="15112" max="15112" width="11.85546875" style="1" customWidth="1"/>
    <col min="15113" max="15113" width="10.7109375" style="1" customWidth="1"/>
    <col min="15114" max="15114" width="10.5703125" style="1" customWidth="1"/>
    <col min="15115" max="15115" width="1.140625" style="1" customWidth="1"/>
    <col min="15116" max="15116" width="11.28515625" style="1" customWidth="1"/>
    <col min="15117" max="15117" width="12.7109375" style="1" customWidth="1"/>
    <col min="15118" max="15118" width="11.5703125" style="1" customWidth="1"/>
    <col min="15119" max="15119" width="12.42578125" style="1" customWidth="1"/>
    <col min="15120" max="15120" width="1.5703125" style="1" customWidth="1"/>
    <col min="15121" max="15121" width="11.42578125" style="1" customWidth="1"/>
    <col min="15122" max="15122" width="12.140625" style="1" customWidth="1"/>
    <col min="15123" max="15123" width="1.7109375" style="1" customWidth="1"/>
    <col min="15124" max="15124" width="13.5703125" style="1" customWidth="1"/>
    <col min="15125" max="15361" width="8.85546875" style="1"/>
    <col min="15362" max="15362" width="9.28515625" style="1" customWidth="1"/>
    <col min="15363" max="15363" width="1.7109375" style="1" customWidth="1"/>
    <col min="15364" max="15367" width="12" style="1" customWidth="1"/>
    <col min="15368" max="15368" width="11.85546875" style="1" customWidth="1"/>
    <col min="15369" max="15369" width="10.7109375" style="1" customWidth="1"/>
    <col min="15370" max="15370" width="10.5703125" style="1" customWidth="1"/>
    <col min="15371" max="15371" width="1.140625" style="1" customWidth="1"/>
    <col min="15372" max="15372" width="11.28515625" style="1" customWidth="1"/>
    <col min="15373" max="15373" width="12.7109375" style="1" customWidth="1"/>
    <col min="15374" max="15374" width="11.5703125" style="1" customWidth="1"/>
    <col min="15375" max="15375" width="12.42578125" style="1" customWidth="1"/>
    <col min="15376" max="15376" width="1.5703125" style="1" customWidth="1"/>
    <col min="15377" max="15377" width="11.42578125" style="1" customWidth="1"/>
    <col min="15378" max="15378" width="12.140625" style="1" customWidth="1"/>
    <col min="15379" max="15379" width="1.7109375" style="1" customWidth="1"/>
    <col min="15380" max="15380" width="13.5703125" style="1" customWidth="1"/>
    <col min="15381" max="15617" width="8.85546875" style="1"/>
    <col min="15618" max="15618" width="9.28515625" style="1" customWidth="1"/>
    <col min="15619" max="15619" width="1.7109375" style="1" customWidth="1"/>
    <col min="15620" max="15623" width="12" style="1" customWidth="1"/>
    <col min="15624" max="15624" width="11.85546875" style="1" customWidth="1"/>
    <col min="15625" max="15625" width="10.7109375" style="1" customWidth="1"/>
    <col min="15626" max="15626" width="10.5703125" style="1" customWidth="1"/>
    <col min="15627" max="15627" width="1.140625" style="1" customWidth="1"/>
    <col min="15628" max="15628" width="11.28515625" style="1" customWidth="1"/>
    <col min="15629" max="15629" width="12.7109375" style="1" customWidth="1"/>
    <col min="15630" max="15630" width="11.5703125" style="1" customWidth="1"/>
    <col min="15631" max="15631" width="12.42578125" style="1" customWidth="1"/>
    <col min="15632" max="15632" width="1.5703125" style="1" customWidth="1"/>
    <col min="15633" max="15633" width="11.42578125" style="1" customWidth="1"/>
    <col min="15634" max="15634" width="12.140625" style="1" customWidth="1"/>
    <col min="15635" max="15635" width="1.7109375" style="1" customWidth="1"/>
    <col min="15636" max="15636" width="13.5703125" style="1" customWidth="1"/>
    <col min="15637" max="15873" width="8.85546875" style="1"/>
    <col min="15874" max="15874" width="9.28515625" style="1" customWidth="1"/>
    <col min="15875" max="15875" width="1.7109375" style="1" customWidth="1"/>
    <col min="15876" max="15879" width="12" style="1" customWidth="1"/>
    <col min="15880" max="15880" width="11.85546875" style="1" customWidth="1"/>
    <col min="15881" max="15881" width="10.7109375" style="1" customWidth="1"/>
    <col min="15882" max="15882" width="10.5703125" style="1" customWidth="1"/>
    <col min="15883" max="15883" width="1.140625" style="1" customWidth="1"/>
    <col min="15884" max="15884" width="11.28515625" style="1" customWidth="1"/>
    <col min="15885" max="15885" width="12.7109375" style="1" customWidth="1"/>
    <col min="15886" max="15886" width="11.5703125" style="1" customWidth="1"/>
    <col min="15887" max="15887" width="12.42578125" style="1" customWidth="1"/>
    <col min="15888" max="15888" width="1.5703125" style="1" customWidth="1"/>
    <col min="15889" max="15889" width="11.42578125" style="1" customWidth="1"/>
    <col min="15890" max="15890" width="12.140625" style="1" customWidth="1"/>
    <col min="15891" max="15891" width="1.7109375" style="1" customWidth="1"/>
    <col min="15892" max="15892" width="13.5703125" style="1" customWidth="1"/>
    <col min="15893" max="16129" width="8.85546875" style="1"/>
    <col min="16130" max="16130" width="9.28515625" style="1" customWidth="1"/>
    <col min="16131" max="16131" width="1.7109375" style="1" customWidth="1"/>
    <col min="16132" max="16135" width="12" style="1" customWidth="1"/>
    <col min="16136" max="16136" width="11.85546875" style="1" customWidth="1"/>
    <col min="16137" max="16137" width="10.7109375" style="1" customWidth="1"/>
    <col min="16138" max="16138" width="10.5703125" style="1" customWidth="1"/>
    <col min="16139" max="16139" width="1.140625" style="1" customWidth="1"/>
    <col min="16140" max="16140" width="11.28515625" style="1" customWidth="1"/>
    <col min="16141" max="16141" width="12.7109375" style="1" customWidth="1"/>
    <col min="16142" max="16142" width="11.5703125" style="1" customWidth="1"/>
    <col min="16143" max="16143" width="12.42578125" style="1" customWidth="1"/>
    <col min="16144" max="16144" width="1.5703125" style="1" customWidth="1"/>
    <col min="16145" max="16145" width="11.42578125" style="1" customWidth="1"/>
    <col min="16146" max="16146" width="12.140625" style="1" customWidth="1"/>
    <col min="16147" max="16147" width="1.7109375" style="1" customWidth="1"/>
    <col min="16148" max="16148" width="13.5703125" style="1" customWidth="1"/>
    <col min="16149" max="16384" width="8.85546875" style="1"/>
  </cols>
  <sheetData>
    <row r="1" spans="1:20" ht="18" x14ac:dyDescent="0.25">
      <c r="A1" s="86" t="s">
        <v>0</v>
      </c>
      <c r="B1" s="86"/>
      <c r="C1" s="86"/>
      <c r="D1" s="86"/>
      <c r="E1" s="86"/>
      <c r="F1" s="86"/>
      <c r="G1" s="86"/>
      <c r="H1" s="86"/>
      <c r="I1" s="86"/>
      <c r="J1" s="86"/>
      <c r="K1" s="86"/>
      <c r="L1" s="86"/>
      <c r="M1" s="86"/>
      <c r="N1" s="86"/>
      <c r="O1" s="86"/>
      <c r="P1" s="86"/>
      <c r="Q1" s="86"/>
      <c r="R1" s="86"/>
      <c r="S1" s="86"/>
      <c r="T1" s="86"/>
    </row>
    <row r="2" spans="1:20" ht="15.75" x14ac:dyDescent="0.25">
      <c r="A2" s="87" t="s">
        <v>1</v>
      </c>
      <c r="B2" s="87"/>
      <c r="C2" s="87"/>
      <c r="D2" s="87"/>
      <c r="E2" s="87"/>
      <c r="F2" s="87"/>
      <c r="G2" s="87"/>
      <c r="H2" s="87"/>
      <c r="I2" s="87"/>
      <c r="J2" s="87"/>
      <c r="K2" s="87"/>
      <c r="L2" s="87"/>
      <c r="M2" s="87"/>
      <c r="N2" s="87"/>
      <c r="O2" s="87"/>
      <c r="P2" s="87"/>
      <c r="Q2" s="87"/>
      <c r="R2" s="87"/>
      <c r="S2" s="87"/>
      <c r="T2" s="87"/>
    </row>
    <row r="3" spans="1:20" s="2" customFormat="1" ht="15.75" x14ac:dyDescent="0.25">
      <c r="A3" s="87" t="s">
        <v>2</v>
      </c>
      <c r="B3" s="87"/>
      <c r="C3" s="87"/>
      <c r="D3" s="87"/>
      <c r="E3" s="87"/>
      <c r="F3" s="87"/>
      <c r="G3" s="87"/>
      <c r="H3" s="87"/>
      <c r="I3" s="87"/>
      <c r="J3" s="87"/>
      <c r="K3" s="87"/>
      <c r="L3" s="87"/>
      <c r="M3" s="87"/>
      <c r="N3" s="87"/>
      <c r="O3" s="87"/>
      <c r="P3" s="87"/>
      <c r="Q3" s="87"/>
      <c r="R3" s="87"/>
      <c r="S3" s="87"/>
      <c r="T3" s="87"/>
    </row>
    <row r="4" spans="1:20" s="2" customFormat="1" ht="14.25" customHeight="1" x14ac:dyDescent="0.25">
      <c r="A4" s="88" t="s">
        <v>3</v>
      </c>
      <c r="B4" s="88"/>
      <c r="C4" s="88"/>
      <c r="D4" s="88"/>
      <c r="E4" s="88"/>
      <c r="F4" s="88"/>
      <c r="G4" s="88"/>
      <c r="H4" s="88"/>
      <c r="I4" s="88"/>
      <c r="J4" s="88"/>
      <c r="K4" s="88"/>
      <c r="L4" s="88"/>
      <c r="M4" s="88"/>
      <c r="N4" s="88"/>
      <c r="O4" s="88"/>
      <c r="P4" s="88"/>
      <c r="Q4" s="88"/>
      <c r="R4" s="88"/>
      <c r="S4" s="88"/>
      <c r="T4" s="88"/>
    </row>
    <row r="5" spans="1:20" s="2" customFormat="1" x14ac:dyDescent="0.25">
      <c r="A5" s="89" t="s">
        <v>4</v>
      </c>
      <c r="B5" s="89"/>
      <c r="C5" s="89"/>
      <c r="D5" s="89"/>
      <c r="E5" s="89"/>
      <c r="F5" s="89"/>
      <c r="G5" s="89"/>
      <c r="H5" s="89"/>
      <c r="I5" s="89"/>
      <c r="J5" s="89"/>
      <c r="K5" s="89"/>
      <c r="L5" s="89"/>
      <c r="M5" s="89"/>
      <c r="N5" s="89"/>
      <c r="O5" s="89"/>
      <c r="P5" s="89"/>
      <c r="Q5" s="89"/>
      <c r="R5" s="89"/>
      <c r="S5" s="89"/>
      <c r="T5" s="89"/>
    </row>
    <row r="6" spans="1:20" s="2" customFormat="1" x14ac:dyDescent="0.25">
      <c r="A6" s="3"/>
      <c r="B6" s="3"/>
      <c r="C6" s="3"/>
      <c r="D6" s="3"/>
      <c r="E6" s="3"/>
      <c r="F6" s="3"/>
      <c r="G6" s="3"/>
      <c r="H6" s="3"/>
      <c r="I6" s="3"/>
      <c r="J6" s="3"/>
      <c r="K6" s="3"/>
      <c r="L6" s="3"/>
      <c r="M6" s="3"/>
      <c r="N6" s="3"/>
      <c r="O6" s="3"/>
      <c r="P6" s="3"/>
      <c r="Q6" s="3"/>
      <c r="R6" s="3"/>
    </row>
    <row r="7" spans="1:20" s="2" customFormat="1" x14ac:dyDescent="0.25">
      <c r="A7" s="4"/>
      <c r="B7" s="4"/>
      <c r="C7" s="5"/>
      <c r="D7" s="5"/>
      <c r="E7" s="5"/>
      <c r="F7" s="5"/>
      <c r="G7" s="5"/>
      <c r="H7" s="6"/>
      <c r="I7" s="7"/>
      <c r="J7" s="6"/>
      <c r="K7" s="6"/>
      <c r="L7" s="6"/>
      <c r="M7" s="6"/>
      <c r="N7" s="6"/>
      <c r="O7" s="6"/>
      <c r="P7" s="6"/>
      <c r="Q7" s="6"/>
      <c r="R7" s="6"/>
    </row>
    <row r="8" spans="1:20" s="8" customFormat="1" ht="14.25" customHeight="1" x14ac:dyDescent="0.25">
      <c r="A8" s="83" t="s">
        <v>5</v>
      </c>
      <c r="B8" s="84"/>
      <c r="C8" s="84"/>
      <c r="D8" s="84"/>
      <c r="E8" s="84"/>
      <c r="F8" s="84"/>
      <c r="G8" s="84"/>
      <c r="H8" s="84"/>
      <c r="I8" s="84"/>
      <c r="J8" s="84"/>
      <c r="K8" s="84"/>
      <c r="L8" s="84"/>
      <c r="M8" s="84"/>
      <c r="N8" s="84"/>
      <c r="O8" s="84"/>
      <c r="P8" s="84"/>
      <c r="Q8" s="84"/>
      <c r="R8" s="84"/>
      <c r="S8" s="84"/>
      <c r="T8" s="85"/>
    </row>
    <row r="9" spans="1:20" s="2" customFormat="1" ht="9" customHeight="1" x14ac:dyDescent="0.25">
      <c r="A9" s="4"/>
      <c r="B9" s="4"/>
      <c r="C9" s="5"/>
      <c r="D9" s="5"/>
      <c r="E9" s="5"/>
      <c r="F9" s="5"/>
      <c r="G9" s="5"/>
      <c r="H9" s="6"/>
      <c r="I9" s="7"/>
      <c r="J9" s="6"/>
      <c r="K9" s="6"/>
      <c r="L9" s="6"/>
      <c r="M9" s="6"/>
      <c r="N9" s="6"/>
      <c r="O9" s="6"/>
      <c r="P9" s="6"/>
      <c r="Q9" s="6"/>
      <c r="R9" s="6"/>
    </row>
    <row r="10" spans="1:20" s="13" customFormat="1" ht="12.75" x14ac:dyDescent="0.2">
      <c r="A10" s="9"/>
      <c r="B10" s="9"/>
      <c r="C10" s="91" t="s">
        <v>6</v>
      </c>
      <c r="D10" s="92"/>
      <c r="E10" s="92"/>
      <c r="F10" s="92"/>
      <c r="G10" s="92"/>
      <c r="H10" s="92"/>
      <c r="I10" s="92"/>
      <c r="J10" s="10"/>
      <c r="K10" s="11"/>
      <c r="L10" s="91" t="s">
        <v>7</v>
      </c>
      <c r="M10" s="92"/>
      <c r="N10" s="92"/>
      <c r="O10" s="93"/>
      <c r="P10" s="12"/>
      <c r="Q10" s="91" t="s">
        <v>8</v>
      </c>
      <c r="R10" s="93"/>
    </row>
    <row r="11" spans="1:20" s="18" customFormat="1" ht="12" x14ac:dyDescent="0.2">
      <c r="A11" s="14"/>
      <c r="B11" s="14"/>
      <c r="C11" s="15"/>
      <c r="D11" s="16" t="s">
        <v>9</v>
      </c>
      <c r="E11" s="15"/>
      <c r="F11" s="16" t="s">
        <v>10</v>
      </c>
      <c r="G11" s="15"/>
      <c r="H11" s="17" t="s">
        <v>11</v>
      </c>
      <c r="I11" s="15"/>
      <c r="J11" s="15"/>
      <c r="K11" s="15"/>
      <c r="L11" s="16" t="s">
        <v>10</v>
      </c>
      <c r="M11" s="16"/>
      <c r="N11" s="16" t="s">
        <v>9</v>
      </c>
      <c r="O11" s="16" t="s">
        <v>10</v>
      </c>
      <c r="Q11" s="16" t="s">
        <v>10</v>
      </c>
      <c r="R11" s="16" t="s">
        <v>10</v>
      </c>
      <c r="T11" s="16" t="s">
        <v>10</v>
      </c>
    </row>
    <row r="12" spans="1:20" s="21" customFormat="1" ht="12" x14ac:dyDescent="0.2">
      <c r="A12" s="19"/>
      <c r="B12" s="19"/>
      <c r="C12" s="16" t="s">
        <v>12</v>
      </c>
      <c r="D12" s="20" t="s">
        <v>13</v>
      </c>
      <c r="E12" s="16" t="s">
        <v>12</v>
      </c>
      <c r="F12" s="16" t="s">
        <v>14</v>
      </c>
      <c r="G12" s="16"/>
      <c r="H12" s="17" t="s">
        <v>15</v>
      </c>
      <c r="I12" s="16" t="s">
        <v>16</v>
      </c>
      <c r="J12" s="16"/>
      <c r="K12" s="16"/>
      <c r="L12" s="21" t="s">
        <v>11</v>
      </c>
      <c r="M12" s="16" t="s">
        <v>17</v>
      </c>
      <c r="N12" s="16" t="s">
        <v>17</v>
      </c>
      <c r="O12" s="16" t="s">
        <v>17</v>
      </c>
      <c r="Q12" s="21" t="s">
        <v>11</v>
      </c>
      <c r="R12" s="16" t="s">
        <v>18</v>
      </c>
      <c r="T12" s="16" t="s">
        <v>10</v>
      </c>
    </row>
    <row r="13" spans="1:20" s="21" customFormat="1" ht="12" x14ac:dyDescent="0.2">
      <c r="A13" s="22" t="s">
        <v>19</v>
      </c>
      <c r="B13" s="22"/>
      <c r="C13" s="23" t="s">
        <v>20</v>
      </c>
      <c r="D13" s="23" t="s">
        <v>12</v>
      </c>
      <c r="E13" s="23" t="s">
        <v>21</v>
      </c>
      <c r="F13" s="23" t="s">
        <v>22</v>
      </c>
      <c r="G13" s="23"/>
      <c r="H13" s="24" t="s">
        <v>23</v>
      </c>
      <c r="I13" s="23" t="s">
        <v>24</v>
      </c>
      <c r="J13" s="20"/>
      <c r="K13" s="20"/>
      <c r="L13" s="23" t="s">
        <v>25</v>
      </c>
      <c r="M13" s="23" t="s">
        <v>26</v>
      </c>
      <c r="N13" s="23" t="s">
        <v>12</v>
      </c>
      <c r="O13" s="23" t="s">
        <v>22</v>
      </c>
      <c r="P13" s="25"/>
      <c r="Q13" s="23" t="s">
        <v>8</v>
      </c>
      <c r="R13" s="23" t="s">
        <v>22</v>
      </c>
      <c r="T13" s="23" t="s">
        <v>27</v>
      </c>
    </row>
    <row r="14" spans="1:20" x14ac:dyDescent="0.25">
      <c r="A14" s="4">
        <v>43191</v>
      </c>
      <c r="C14" s="26">
        <v>89177665.650000006</v>
      </c>
      <c r="D14" s="26">
        <f>956803.16</f>
        <v>956803.16</v>
      </c>
      <c r="E14" s="26">
        <v>82014996.099999994</v>
      </c>
      <c r="F14" s="26">
        <v>6205866.3899999997</v>
      </c>
      <c r="G14" s="26"/>
      <c r="H14" s="27">
        <v>943.5</v>
      </c>
      <c r="I14" s="26">
        <v>219</v>
      </c>
      <c r="J14" s="26"/>
      <c r="L14" s="27">
        <v>32</v>
      </c>
      <c r="M14" s="26">
        <v>4695737</v>
      </c>
      <c r="N14" s="26">
        <v>80370</v>
      </c>
      <c r="O14" s="26">
        <v>812869.54</v>
      </c>
      <c r="Q14" s="27">
        <v>12</v>
      </c>
      <c r="R14" s="26">
        <v>93813</v>
      </c>
      <c r="T14" s="26">
        <f t="shared" ref="T14:T25" si="0">F14+O14+R14</f>
        <v>7112548.9299999997</v>
      </c>
    </row>
    <row r="15" spans="1:20" x14ac:dyDescent="0.25">
      <c r="A15" s="4">
        <v>43221</v>
      </c>
      <c r="C15" s="26">
        <v>83570819.329999998</v>
      </c>
      <c r="D15" s="26">
        <v>1051283.55</v>
      </c>
      <c r="E15" s="26">
        <v>76803217.420000002</v>
      </c>
      <c r="F15" s="26">
        <v>5716318.3600000003</v>
      </c>
      <c r="G15" s="29"/>
      <c r="H15" s="27">
        <v>943</v>
      </c>
      <c r="I15" s="26">
        <v>196</v>
      </c>
      <c r="J15" s="26"/>
      <c r="K15" s="29"/>
      <c r="L15" s="27">
        <v>32</v>
      </c>
      <c r="M15" s="26">
        <v>3920837</v>
      </c>
      <c r="N15" s="26">
        <v>69725</v>
      </c>
      <c r="O15" s="26">
        <v>707820.25</v>
      </c>
      <c r="P15" s="29"/>
      <c r="Q15" s="27">
        <v>12</v>
      </c>
      <c r="R15" s="26">
        <v>83095</v>
      </c>
      <c r="T15" s="26">
        <f t="shared" si="0"/>
        <v>6507233.6100000003</v>
      </c>
    </row>
    <row r="16" spans="1:20" x14ac:dyDescent="0.25">
      <c r="A16" s="4">
        <v>43252</v>
      </c>
      <c r="C16" s="26">
        <v>80053730.280000001</v>
      </c>
      <c r="D16" s="26">
        <v>975338.08</v>
      </c>
      <c r="E16" s="26">
        <v>73425347.579999998</v>
      </c>
      <c r="F16" s="26">
        <v>5653044.6200000001</v>
      </c>
      <c r="G16" s="29"/>
      <c r="H16" s="27">
        <v>943</v>
      </c>
      <c r="I16" s="26">
        <v>200</v>
      </c>
      <c r="J16" s="26"/>
      <c r="K16" s="29"/>
      <c r="L16" s="27">
        <v>32</v>
      </c>
      <c r="M16" s="26">
        <v>4341985</v>
      </c>
      <c r="N16" s="26">
        <v>75790</v>
      </c>
      <c r="O16" s="26">
        <v>807487.25</v>
      </c>
      <c r="P16" s="29"/>
      <c r="Q16" s="27">
        <v>12</v>
      </c>
      <c r="R16" s="26">
        <v>75411</v>
      </c>
      <c r="T16" s="26">
        <f t="shared" si="0"/>
        <v>6535942.8700000001</v>
      </c>
    </row>
    <row r="17" spans="1:20" x14ac:dyDescent="0.25">
      <c r="A17" s="4">
        <v>43282</v>
      </c>
      <c r="C17" s="26">
        <v>81599882.739999995</v>
      </c>
      <c r="D17" s="26">
        <v>976164.3</v>
      </c>
      <c r="E17" s="26">
        <v>74691367.989999995</v>
      </c>
      <c r="F17" s="26">
        <v>5932350.4500000002</v>
      </c>
      <c r="G17" s="30"/>
      <c r="H17" s="27">
        <v>943</v>
      </c>
      <c r="I17" s="26">
        <v>203</v>
      </c>
      <c r="J17" s="26"/>
      <c r="K17" s="30"/>
      <c r="L17" s="27">
        <v>32</v>
      </c>
      <c r="M17" s="26">
        <v>4547647</v>
      </c>
      <c r="N17" s="26">
        <v>95045</v>
      </c>
      <c r="O17" s="26">
        <v>767633.25</v>
      </c>
      <c r="P17" s="30"/>
      <c r="Q17" s="27">
        <v>12</v>
      </c>
      <c r="R17" s="26">
        <v>79724</v>
      </c>
      <c r="S17" s="30"/>
      <c r="T17" s="26">
        <f t="shared" si="0"/>
        <v>6779707.7000000002</v>
      </c>
    </row>
    <row r="18" spans="1:20" x14ac:dyDescent="0.25">
      <c r="A18" s="4">
        <v>43313</v>
      </c>
      <c r="C18" s="26">
        <v>82426768.450000003</v>
      </c>
      <c r="D18" s="26">
        <v>949341.32</v>
      </c>
      <c r="E18" s="26">
        <v>75615707.150000006</v>
      </c>
      <c r="F18" s="26">
        <v>5861719.9800000004</v>
      </c>
      <c r="G18" s="30"/>
      <c r="H18" s="27">
        <v>943</v>
      </c>
      <c r="I18" s="26">
        <v>201</v>
      </c>
      <c r="J18" s="26"/>
      <c r="K18" s="30"/>
      <c r="L18" s="27">
        <v>32</v>
      </c>
      <c r="M18" s="26">
        <v>4767862</v>
      </c>
      <c r="N18" s="26">
        <v>110625</v>
      </c>
      <c r="O18" s="26">
        <v>796323</v>
      </c>
      <c r="P18" s="30"/>
      <c r="Q18" s="27">
        <v>12</v>
      </c>
      <c r="R18" s="26">
        <v>76112</v>
      </c>
      <c r="S18" s="30"/>
      <c r="T18" s="26">
        <f t="shared" si="0"/>
        <v>6734154.9800000004</v>
      </c>
    </row>
    <row r="19" spans="1:20" x14ac:dyDescent="0.25">
      <c r="A19" s="4">
        <v>43344</v>
      </c>
      <c r="C19" s="26">
        <v>79387768.409999996</v>
      </c>
      <c r="D19" s="26">
        <v>955637.39</v>
      </c>
      <c r="E19" s="26">
        <v>72698198.939999998</v>
      </c>
      <c r="F19" s="26">
        <v>5733932.0800000001</v>
      </c>
      <c r="G19" s="30"/>
      <c r="H19" s="27">
        <v>942</v>
      </c>
      <c r="I19" s="26">
        <v>203</v>
      </c>
      <c r="J19" s="26"/>
      <c r="K19" s="30"/>
      <c r="L19" s="27">
        <v>32</v>
      </c>
      <c r="M19" s="26">
        <v>4175078</v>
      </c>
      <c r="N19" s="26">
        <v>106110</v>
      </c>
      <c r="O19" s="26">
        <v>810651</v>
      </c>
      <c r="P19" s="30"/>
      <c r="Q19" s="27">
        <v>12</v>
      </c>
      <c r="R19" s="26">
        <v>67975</v>
      </c>
      <c r="S19" s="30"/>
      <c r="T19" s="26">
        <f t="shared" si="0"/>
        <v>6612558.0800000001</v>
      </c>
    </row>
    <row r="20" spans="1:20" x14ac:dyDescent="0.25">
      <c r="A20" s="4">
        <v>43374</v>
      </c>
      <c r="C20" s="26">
        <v>73903928.379999995</v>
      </c>
      <c r="D20" s="26">
        <v>911513.46</v>
      </c>
      <c r="E20" s="26">
        <v>67502946.030000001</v>
      </c>
      <c r="F20" s="26">
        <v>5489468.8899999997</v>
      </c>
      <c r="G20" s="30"/>
      <c r="H20" s="27">
        <v>942</v>
      </c>
      <c r="I20" s="26">
        <v>188</v>
      </c>
      <c r="J20" s="26"/>
      <c r="K20" s="30"/>
      <c r="L20" s="27">
        <v>32</v>
      </c>
      <c r="M20" s="26">
        <v>3972005</v>
      </c>
      <c r="N20" s="26">
        <v>112230</v>
      </c>
      <c r="O20" s="26">
        <v>929403.5</v>
      </c>
      <c r="P20" s="30"/>
      <c r="Q20" s="27">
        <v>12</v>
      </c>
      <c r="R20" s="26">
        <v>64120</v>
      </c>
      <c r="S20" s="30"/>
      <c r="T20" s="26">
        <f t="shared" si="0"/>
        <v>6482992.3899999997</v>
      </c>
    </row>
    <row r="21" spans="1:20" x14ac:dyDescent="0.25">
      <c r="A21" s="4">
        <v>43405</v>
      </c>
      <c r="C21" s="26">
        <v>68840177.340000004</v>
      </c>
      <c r="D21" s="26">
        <v>841601.65</v>
      </c>
      <c r="E21" s="26">
        <v>62916050.119999997</v>
      </c>
      <c r="F21" s="26">
        <v>5082525.57</v>
      </c>
      <c r="G21" s="30"/>
      <c r="H21" s="27">
        <v>942</v>
      </c>
      <c r="I21" s="26">
        <v>180</v>
      </c>
      <c r="J21" s="26"/>
      <c r="K21" s="30"/>
      <c r="L21" s="27">
        <v>32</v>
      </c>
      <c r="M21" s="26">
        <v>3938220</v>
      </c>
      <c r="N21" s="26">
        <v>124885</v>
      </c>
      <c r="O21" s="26">
        <v>919760</v>
      </c>
      <c r="P21" s="30"/>
      <c r="Q21" s="27">
        <v>12</v>
      </c>
      <c r="R21" s="26">
        <v>61600</v>
      </c>
      <c r="S21" s="30"/>
      <c r="T21" s="26">
        <f t="shared" si="0"/>
        <v>6063885.5700000003</v>
      </c>
    </row>
    <row r="22" spans="1:20" x14ac:dyDescent="0.25">
      <c r="A22" s="4">
        <v>43435</v>
      </c>
      <c r="C22" s="26">
        <v>78540039.109999999</v>
      </c>
      <c r="D22" s="26">
        <v>940385.02</v>
      </c>
      <c r="E22" s="26">
        <v>72130962.420000002</v>
      </c>
      <c r="F22" s="26">
        <v>5468691.6699999999</v>
      </c>
      <c r="G22" s="30"/>
      <c r="H22" s="27">
        <v>942</v>
      </c>
      <c r="I22" s="26">
        <v>187</v>
      </c>
      <c r="J22" s="26"/>
      <c r="K22" s="30"/>
      <c r="L22" s="27">
        <v>32</v>
      </c>
      <c r="M22" s="26">
        <v>4576927</v>
      </c>
      <c r="N22" s="26">
        <v>157160</v>
      </c>
      <c r="O22" s="26">
        <v>905872.63</v>
      </c>
      <c r="P22" s="30"/>
      <c r="Q22" s="27">
        <v>12</v>
      </c>
      <c r="R22" s="26">
        <v>72421</v>
      </c>
      <c r="S22" s="30"/>
      <c r="T22" s="26">
        <f t="shared" si="0"/>
        <v>6446985.2999999998</v>
      </c>
    </row>
    <row r="23" spans="1:20" x14ac:dyDescent="0.25">
      <c r="A23" s="4">
        <v>43466</v>
      </c>
      <c r="C23" s="26">
        <v>66864658.289999999</v>
      </c>
      <c r="D23" s="26">
        <v>834452.91</v>
      </c>
      <c r="E23" s="26">
        <v>61216509.590000004</v>
      </c>
      <c r="F23" s="26">
        <v>4813695.79</v>
      </c>
      <c r="G23" s="30"/>
      <c r="H23" s="27">
        <v>942</v>
      </c>
      <c r="I23" s="26">
        <v>165</v>
      </c>
      <c r="J23" s="26"/>
      <c r="K23" s="30"/>
      <c r="L23" s="27">
        <v>32</v>
      </c>
      <c r="M23" s="26">
        <v>4195312</v>
      </c>
      <c r="N23" s="26">
        <v>144825</v>
      </c>
      <c r="O23" s="26">
        <v>792227.75</v>
      </c>
      <c r="P23" s="30"/>
      <c r="Q23" s="27">
        <v>12</v>
      </c>
      <c r="R23" s="26">
        <v>70242</v>
      </c>
      <c r="S23" s="30"/>
      <c r="T23" s="26">
        <f t="shared" si="0"/>
        <v>5676165.54</v>
      </c>
    </row>
    <row r="24" spans="1:20" x14ac:dyDescent="0.25">
      <c r="A24" s="4">
        <v>43497</v>
      </c>
      <c r="C24" s="26">
        <v>73188818.230000004</v>
      </c>
      <c r="D24" s="26">
        <v>843086.17</v>
      </c>
      <c r="E24" s="26">
        <v>66876773.149999999</v>
      </c>
      <c r="F24" s="26">
        <v>5468958.9099999992</v>
      </c>
      <c r="G24" s="30"/>
      <c r="H24" s="27">
        <v>942</v>
      </c>
      <c r="I24" s="26">
        <v>207</v>
      </c>
      <c r="J24" s="26"/>
      <c r="K24" s="30"/>
      <c r="L24" s="27">
        <v>32</v>
      </c>
      <c r="M24" s="26">
        <v>4297683</v>
      </c>
      <c r="N24" s="26">
        <v>134235</v>
      </c>
      <c r="O24" s="26">
        <v>1044910.75</v>
      </c>
      <c r="P24" s="30"/>
      <c r="Q24" s="27">
        <v>12</v>
      </c>
      <c r="R24" s="26">
        <v>76316</v>
      </c>
      <c r="S24" s="30"/>
      <c r="T24" s="26">
        <f t="shared" si="0"/>
        <v>6590185.6599999992</v>
      </c>
    </row>
    <row r="25" spans="1:20" x14ac:dyDescent="0.25">
      <c r="A25" s="4">
        <v>43525</v>
      </c>
      <c r="C25" s="26">
        <v>90466782.640000001</v>
      </c>
      <c r="D25" s="26">
        <v>1055699.69</v>
      </c>
      <c r="E25" s="26">
        <v>82698748.969999999</v>
      </c>
      <c r="F25" s="26">
        <v>6712333.9800000004</v>
      </c>
      <c r="G25" s="30"/>
      <c r="H25" s="27">
        <v>942</v>
      </c>
      <c r="I25" s="26">
        <v>230</v>
      </c>
      <c r="J25" s="26"/>
      <c r="K25" s="30">
        <v>11524.17</v>
      </c>
      <c r="L25" s="27">
        <v>32</v>
      </c>
      <c r="M25" s="26">
        <v>5171352</v>
      </c>
      <c r="N25" s="26">
        <v>155245</v>
      </c>
      <c r="O25" s="26">
        <v>1133433.75</v>
      </c>
      <c r="P25" s="30"/>
      <c r="Q25" s="27">
        <v>12</v>
      </c>
      <c r="R25" s="26">
        <v>104072</v>
      </c>
      <c r="S25" s="30"/>
      <c r="T25" s="26">
        <f t="shared" si="0"/>
        <v>7949839.7300000004</v>
      </c>
    </row>
    <row r="26" spans="1:20" ht="15.75" thickBot="1" x14ac:dyDescent="0.3">
      <c r="A26" s="4" t="s">
        <v>28</v>
      </c>
      <c r="C26" s="31">
        <f>SUM(C14:C25)</f>
        <v>948021038.85000002</v>
      </c>
      <c r="D26" s="31">
        <f t="shared" ref="D26:F26" si="1">SUM(D14:D25)</f>
        <v>11291306.699999999</v>
      </c>
      <c r="E26" s="31">
        <f t="shared" si="1"/>
        <v>868590825.46000004</v>
      </c>
      <c r="F26" s="31">
        <f t="shared" si="1"/>
        <v>68138906.689999998</v>
      </c>
      <c r="G26" s="31"/>
      <c r="H26" s="32">
        <v>942</v>
      </c>
      <c r="I26" s="31">
        <v>198</v>
      </c>
      <c r="J26" s="33"/>
      <c r="K26" s="34"/>
      <c r="L26" s="35">
        <v>32</v>
      </c>
      <c r="M26" s="31">
        <f>SUM(M14:M25)</f>
        <v>52600645</v>
      </c>
      <c r="N26" s="31">
        <f>SUM(N14:N25)</f>
        <v>1366245</v>
      </c>
      <c r="O26" s="31">
        <f>SUM(O14:O25)</f>
        <v>10428392.67</v>
      </c>
      <c r="P26" s="33"/>
      <c r="Q26" s="32">
        <v>12</v>
      </c>
      <c r="R26" s="31">
        <f>SUM(R14:R25)</f>
        <v>924901</v>
      </c>
      <c r="S26" s="33"/>
      <c r="T26" s="31">
        <f>SUM(T14:T25)</f>
        <v>79492200.359999999</v>
      </c>
    </row>
    <row r="27" spans="1:20" ht="10.5" customHeight="1" thickTop="1" x14ac:dyDescent="0.25">
      <c r="C27" s="36"/>
      <c r="D27" s="36"/>
      <c r="E27" s="36"/>
      <c r="F27" s="36"/>
      <c r="G27" s="36"/>
      <c r="H27" s="36"/>
      <c r="L27" s="38"/>
      <c r="M27" s="36"/>
      <c r="N27" s="36"/>
      <c r="O27" s="36"/>
      <c r="P27" s="36"/>
      <c r="Q27" s="38"/>
      <c r="R27" s="36"/>
    </row>
    <row r="28" spans="1:20" s="42" customFormat="1" x14ac:dyDescent="0.25">
      <c r="A28" s="39"/>
      <c r="B28" s="39"/>
      <c r="C28" s="40"/>
      <c r="D28" s="41">
        <f>D26/$C$26</f>
        <v>1.1910396749946558E-2</v>
      </c>
      <c r="E28" s="41">
        <f>E26/$C$26</f>
        <v>0.9162147145106051</v>
      </c>
      <c r="F28" s="41">
        <f>F26/$C$26</f>
        <v>7.1874888739448348E-2</v>
      </c>
      <c r="G28" s="41"/>
      <c r="H28" s="40"/>
      <c r="L28" s="40"/>
      <c r="M28" s="40"/>
      <c r="N28" s="40"/>
      <c r="O28" s="40">
        <f>O26/$M$26</f>
        <v>0.19825598469372382</v>
      </c>
      <c r="P28" s="40"/>
      <c r="Q28" s="40"/>
      <c r="R28" s="40"/>
    </row>
    <row r="29" spans="1:20" s="42" customFormat="1" x14ac:dyDescent="0.25">
      <c r="A29" s="39"/>
      <c r="B29" s="39"/>
      <c r="C29" s="40"/>
      <c r="D29" s="40"/>
      <c r="E29" s="40"/>
      <c r="F29" s="40"/>
      <c r="G29" s="40"/>
      <c r="H29" s="40"/>
      <c r="L29" s="40"/>
      <c r="M29" s="40"/>
      <c r="N29" s="40"/>
      <c r="O29" s="40"/>
      <c r="P29" s="40"/>
      <c r="Q29" s="40"/>
      <c r="R29" s="40"/>
    </row>
    <row r="30" spans="1:20" s="42" customFormat="1" x14ac:dyDescent="0.25">
      <c r="A30" s="83" t="s">
        <v>29</v>
      </c>
      <c r="B30" s="84"/>
      <c r="C30" s="84"/>
      <c r="D30" s="84"/>
      <c r="E30" s="84"/>
      <c r="F30" s="84"/>
      <c r="G30" s="84"/>
      <c r="H30" s="84"/>
      <c r="I30" s="84"/>
      <c r="J30" s="84"/>
      <c r="K30" s="84"/>
      <c r="L30" s="84"/>
      <c r="M30" s="84"/>
      <c r="N30" s="84"/>
      <c r="O30" s="84"/>
      <c r="P30" s="84"/>
      <c r="Q30" s="84"/>
      <c r="R30" s="84"/>
      <c r="S30" s="84"/>
      <c r="T30" s="85"/>
    </row>
    <row r="31" spans="1:20" s="44" customFormat="1" x14ac:dyDescent="0.25">
      <c r="A31" s="43"/>
      <c r="B31" s="43"/>
      <c r="C31" s="43"/>
      <c r="D31" s="43"/>
      <c r="E31" s="43"/>
      <c r="F31" s="43"/>
      <c r="G31" s="43"/>
      <c r="H31" s="43"/>
      <c r="I31" s="43"/>
      <c r="J31" s="43"/>
      <c r="K31" s="43"/>
      <c r="L31" s="43"/>
      <c r="M31" s="43"/>
      <c r="N31" s="43"/>
      <c r="O31" s="43"/>
      <c r="P31" s="43"/>
      <c r="Q31" s="43"/>
      <c r="R31" s="43"/>
    </row>
    <row r="32" spans="1:20" s="44" customFormat="1" x14ac:dyDescent="0.25">
      <c r="A32" s="43"/>
      <c r="B32" s="43"/>
      <c r="C32" s="43"/>
      <c r="D32" s="43"/>
      <c r="E32" s="43"/>
      <c r="F32" s="43"/>
      <c r="G32" s="43"/>
      <c r="H32" s="94" t="s">
        <v>30</v>
      </c>
      <c r="I32" s="95"/>
      <c r="J32" s="95"/>
      <c r="K32" s="95"/>
      <c r="L32" s="95"/>
      <c r="M32" s="95"/>
      <c r="N32" s="95"/>
      <c r="O32" s="95"/>
      <c r="P32" s="95"/>
      <c r="Q32" s="96"/>
      <c r="R32" s="45"/>
    </row>
    <row r="33" spans="1:20" s="46" customFormat="1" ht="12" x14ac:dyDescent="0.2">
      <c r="H33" s="16" t="s">
        <v>31</v>
      </c>
      <c r="I33" s="16" t="s">
        <v>32</v>
      </c>
      <c r="J33" s="16" t="s">
        <v>33</v>
      </c>
      <c r="M33" s="47"/>
      <c r="N33" s="47"/>
      <c r="O33" s="47"/>
      <c r="P33" s="47"/>
      <c r="Q33" s="47"/>
      <c r="R33" s="47"/>
    </row>
    <row r="34" spans="1:20" s="46" customFormat="1" ht="12.75" customHeight="1" x14ac:dyDescent="0.2">
      <c r="C34" s="16" t="s">
        <v>34</v>
      </c>
      <c r="D34" s="46" t="s">
        <v>10</v>
      </c>
      <c r="E34" s="46" t="s">
        <v>35</v>
      </c>
      <c r="F34" s="46" t="s">
        <v>36</v>
      </c>
      <c r="H34" s="16" t="s">
        <v>37</v>
      </c>
      <c r="I34" s="16" t="s">
        <v>38</v>
      </c>
      <c r="J34" s="16" t="s">
        <v>39</v>
      </c>
      <c r="L34" s="90" t="s">
        <v>40</v>
      </c>
      <c r="M34" s="90"/>
      <c r="N34" s="90"/>
      <c r="O34" s="90"/>
      <c r="P34" s="90"/>
      <c r="Q34" s="90"/>
      <c r="R34" s="48"/>
    </row>
    <row r="35" spans="1:20" s="46" customFormat="1" ht="12" x14ac:dyDescent="0.2">
      <c r="C35" s="23" t="s">
        <v>41</v>
      </c>
      <c r="D35" s="49" t="s">
        <v>42</v>
      </c>
      <c r="E35" s="49" t="s">
        <v>43</v>
      </c>
      <c r="F35" s="49" t="s">
        <v>44</v>
      </c>
      <c r="G35" s="47"/>
      <c r="H35" s="23" t="s">
        <v>45</v>
      </c>
      <c r="I35" s="23" t="s">
        <v>46</v>
      </c>
      <c r="J35" s="23" t="s">
        <v>47</v>
      </c>
      <c r="K35" s="49"/>
      <c r="L35" s="49" t="s">
        <v>48</v>
      </c>
      <c r="M35" s="49" t="s">
        <v>49</v>
      </c>
      <c r="N35" s="49" t="s">
        <v>50</v>
      </c>
      <c r="O35" s="49" t="s">
        <v>51</v>
      </c>
      <c r="P35" s="50"/>
      <c r="Q35" s="49" t="s">
        <v>52</v>
      </c>
    </row>
    <row r="36" spans="1:20" s="42" customFormat="1" x14ac:dyDescent="0.25">
      <c r="A36" s="4">
        <v>43191</v>
      </c>
      <c r="B36" s="39"/>
      <c r="C36" s="36">
        <f>(F14*0.63)+(O14+R14)*0.9</f>
        <v>4725710.1117000002</v>
      </c>
      <c r="D36" s="36">
        <f>(F14*0.37)+(O14+R14)*0.1</f>
        <v>2386838.8182999999</v>
      </c>
      <c r="E36" s="26">
        <v>5908.79</v>
      </c>
      <c r="F36" s="26">
        <v>87.94</v>
      </c>
      <c r="H36" s="36">
        <f>F14*0.37*0.8+(O14+R14)*0.1*0.8+((E36+F36)*0.8)</f>
        <v>1914268.4386400001</v>
      </c>
      <c r="I36" s="36">
        <f>F14*0.37*0.05+(O14+R14)*0.1*0.05+((E36+F36)*0.05)</f>
        <v>119641.777415</v>
      </c>
      <c r="J36" s="36">
        <f>F14*0.37*0.05+(O14+R14)*0.1*0.05+((E36+F36)*0.05)</f>
        <v>119641.777415</v>
      </c>
      <c r="L36" s="36">
        <f>(F14*0.37*0.1+(O14+R14)*0.1*0.1)*200600/373770+((E36+F36)*0.1*200600/373770)</f>
        <v>128421.97367070123</v>
      </c>
      <c r="M36" s="36">
        <f>(F14*0.37*0.1+(O14+R14)*0.1*0.1)*41600/373770+((E36+F36)*0.1*41600/373770)</f>
        <v>26631.87489880943</v>
      </c>
      <c r="N36" s="36">
        <f>(F14*0.37*0.1+(O14+R14)*0.1*0.1)*9989/373770+((E36+F36)*0.1*9989/373770)</f>
        <v>6394.8509222165239</v>
      </c>
      <c r="O36" s="36">
        <f>(F14*0.37*0.1+(O14+R14)*0.1*0.1)*101564/373770+((E36+F36)*0.1*101564/373770)</f>
        <v>65020.186111122137</v>
      </c>
      <c r="Q36" s="36">
        <f>(F14*0.37*0.1+(O14+R14)*0.1*0.1)*20017/373770+((E36+F36)*0.1*20017/373770)</f>
        <v>12814.669227150682</v>
      </c>
    </row>
    <row r="37" spans="1:20" s="42" customFormat="1" x14ac:dyDescent="0.25">
      <c r="A37" s="4">
        <v>43221</v>
      </c>
      <c r="B37" s="39"/>
      <c r="C37" s="36">
        <f t="shared" ref="C37:C47" si="2">(F15*0.63)+(O15+R15)*0.9</f>
        <v>4313104.2917999998</v>
      </c>
      <c r="D37" s="36">
        <f t="shared" ref="D37:D47" si="3">(F15*0.37)+(O15+R15)*0.1</f>
        <v>2194129.3182000001</v>
      </c>
      <c r="E37" s="26">
        <v>9153.41</v>
      </c>
      <c r="F37" s="26">
        <v>0</v>
      </c>
      <c r="H37" s="36">
        <f>F15*0.37*0.8+(O15+R15)*0.1*0.8+((E37+F37)*0.8)</f>
        <v>1762626.1825600001</v>
      </c>
      <c r="I37" s="36">
        <f>F15*0.37*0.05+(O15+R15)*0.1*0.05+((E37+F37)*0.05)</f>
        <v>110164.13641000001</v>
      </c>
      <c r="J37" s="36">
        <f>F15*0.37*0.05+(O15+R15)*0.1*0.05+((E37+F37)*0.05)</f>
        <v>110164.13641000001</v>
      </c>
      <c r="L37" s="36">
        <f>(F15*0.37*0.1+(O15+R15)*0.1*0.1)*200600/373770+((E37+F37)*0.1*200600/373770)</f>
        <v>118248.79344969367</v>
      </c>
      <c r="M37" s="36">
        <f>(F15*0.37*0.1+(O15+R15)*0.1*0.1)*41600/373770+((E37+F37)*0.1*41600/373770)</f>
        <v>24522.182490066087</v>
      </c>
      <c r="N37" s="36">
        <f>(F15*0.37*0.1+(O15+R15)*0.1*0.1)*9989/373770+((E37+F37)*0.1*9989/373770)</f>
        <v>5888.2711753189942</v>
      </c>
      <c r="O37" s="36">
        <f>(F15*0.37*0.1+(O15+R15)*0.1*0.1)*101564/373770+((E37+F37)*0.1*101564/373770)</f>
        <v>59869.493808198844</v>
      </c>
      <c r="Q37" s="36">
        <f>(F15*0.37*0.1+(O15+R15)*0.1*0.1)*20017/373770+((E37+F37)*0.1*20017/373770)</f>
        <v>11799.531896722423</v>
      </c>
      <c r="S37" s="28"/>
      <c r="T37" s="28"/>
    </row>
    <row r="38" spans="1:20" s="42" customFormat="1" x14ac:dyDescent="0.25">
      <c r="A38" s="4">
        <v>43252</v>
      </c>
      <c r="B38" s="39"/>
      <c r="C38" s="36">
        <f t="shared" si="2"/>
        <v>4356026.5356000001</v>
      </c>
      <c r="D38" s="36">
        <f t="shared" si="3"/>
        <v>2179916.3344000001</v>
      </c>
      <c r="E38" s="26">
        <v>7039.68</v>
      </c>
      <c r="F38" s="26">
        <v>0</v>
      </c>
      <c r="H38" s="36">
        <f>F16*0.37*0.8+(O16+R16)*0.1*0.8+((E38+F38)*0.8)</f>
        <v>1749564.8115200002</v>
      </c>
      <c r="I38" s="36">
        <f t="shared" ref="I38:I47" si="4">F16*0.37*0.05+(O16+R16)*0.1*0.05+((E38+F38)*0.05)</f>
        <v>109347.80072000001</v>
      </c>
      <c r="J38" s="36">
        <f t="shared" ref="J38:J47" si="5">F16*0.37*0.05+(O16+R16)*0.1*0.05+((E38+F38)*0.05)</f>
        <v>109347.80072000001</v>
      </c>
      <c r="L38" s="36">
        <f t="shared" ref="L38:L47" si="6">(F16*0.37*0.1+(O16+R16)*0.1*0.1)*200600/373770+((E38+F38)*0.1*200600/373770)</f>
        <v>117372.54902443751</v>
      </c>
      <c r="M38" s="36">
        <f t="shared" ref="M38:M47" si="7">(F16*0.37*0.1+(O16+R16)*0.1*0.1)*41600/373770+((E38+F38)*0.1*41600/373770)</f>
        <v>24340.468790710871</v>
      </c>
      <c r="N38" s="36">
        <f t="shared" ref="N38:N47" si="8">(F16*0.37*0.1+(O16+R16)*0.1*0.1)*9989/373770+((E38+F38)*0.1*9989/373770)</f>
        <v>5844.6380468848765</v>
      </c>
      <c r="O38" s="36">
        <f t="shared" ref="O38:O47" si="9">(F16*0.37*0.1+(O16+R16)*0.1*0.1)*101564/373770+((E38+F38)*0.1*101564/373770)</f>
        <v>59425.850294705742</v>
      </c>
      <c r="Q38" s="36">
        <f t="shared" ref="Q38:Q47" si="10">(F16*0.37*0.1+(O16+R16)*0.1*0.1)*20017/373770+((E38+F38)*0.1*20017/373770)</f>
        <v>11712.095283261046</v>
      </c>
      <c r="S38" s="28"/>
      <c r="T38" s="28"/>
    </row>
    <row r="39" spans="1:20" s="42" customFormat="1" x14ac:dyDescent="0.25">
      <c r="A39" s="4">
        <v>43282</v>
      </c>
      <c r="B39" s="39"/>
      <c r="C39" s="36">
        <f t="shared" si="2"/>
        <v>4500002.3085000003</v>
      </c>
      <c r="D39" s="36">
        <f t="shared" si="3"/>
        <v>2279705.3914999999</v>
      </c>
      <c r="E39" s="26">
        <v>8877.7199999999993</v>
      </c>
      <c r="F39" s="26">
        <v>0</v>
      </c>
      <c r="H39" s="36">
        <f t="shared" ref="H39:H47" si="11">F17*0.37*0.8+(O17+R17)*0.1*0.8+((E39+F39)*0.8)</f>
        <v>1830866.4892</v>
      </c>
      <c r="I39" s="36">
        <f t="shared" si="4"/>
        <v>114429.155575</v>
      </c>
      <c r="J39" s="36">
        <f t="shared" si="5"/>
        <v>114429.155575</v>
      </c>
      <c r="L39" s="36">
        <f t="shared" si="6"/>
        <v>122826.81118519411</v>
      </c>
      <c r="M39" s="36">
        <f t="shared" si="7"/>
        <v>25471.562040399174</v>
      </c>
      <c r="N39" s="36">
        <f t="shared" si="8"/>
        <v>6116.2363755179649</v>
      </c>
      <c r="O39" s="36">
        <f t="shared" si="9"/>
        <v>62187.349208439948</v>
      </c>
      <c r="Q39" s="36">
        <f t="shared" si="10"/>
        <v>12256.352340448806</v>
      </c>
      <c r="S39" s="28"/>
      <c r="T39" s="28"/>
    </row>
    <row r="40" spans="1:20" s="42" customFormat="1" x14ac:dyDescent="0.25">
      <c r="A40" s="4">
        <v>43313</v>
      </c>
      <c r="B40" s="39"/>
      <c r="C40" s="36">
        <f t="shared" si="2"/>
        <v>4478075.0874000005</v>
      </c>
      <c r="D40" s="36">
        <f t="shared" si="3"/>
        <v>2256079.8926000004</v>
      </c>
      <c r="E40" s="26">
        <v>7032.28</v>
      </c>
      <c r="F40" s="26">
        <v>0</v>
      </c>
      <c r="H40" s="36">
        <f t="shared" si="11"/>
        <v>1810489.7380800005</v>
      </c>
      <c r="I40" s="36">
        <f t="shared" si="4"/>
        <v>113155.60863000003</v>
      </c>
      <c r="J40" s="36">
        <f t="shared" si="5"/>
        <v>113155.60863000003</v>
      </c>
      <c r="L40" s="36">
        <f t="shared" si="6"/>
        <v>121459.8019700779</v>
      </c>
      <c r="M40" s="36">
        <f t="shared" si="7"/>
        <v>25188.074586018149</v>
      </c>
      <c r="N40" s="36">
        <f t="shared" si="8"/>
        <v>6048.1653134551743</v>
      </c>
      <c r="O40" s="36">
        <f t="shared" si="9"/>
        <v>61495.2309436141</v>
      </c>
      <c r="Q40" s="36">
        <f t="shared" si="10"/>
        <v>12119.944446834739</v>
      </c>
      <c r="S40" s="28"/>
      <c r="T40" s="28"/>
    </row>
    <row r="41" spans="1:20" s="42" customFormat="1" x14ac:dyDescent="0.25">
      <c r="A41" s="4">
        <v>43344</v>
      </c>
      <c r="B41" s="39"/>
      <c r="C41" s="36">
        <f t="shared" si="2"/>
        <v>4403140.6104000006</v>
      </c>
      <c r="D41" s="36">
        <f t="shared" si="3"/>
        <v>2209417.4696</v>
      </c>
      <c r="E41" s="26">
        <v>6185.32</v>
      </c>
      <c r="F41" s="26">
        <v>699.5</v>
      </c>
      <c r="H41" s="36">
        <f t="shared" si="11"/>
        <v>1773041.8316800001</v>
      </c>
      <c r="I41" s="36">
        <f t="shared" si="4"/>
        <v>110815.11448</v>
      </c>
      <c r="J41" s="36">
        <f t="shared" si="5"/>
        <v>110815.11448</v>
      </c>
      <c r="L41" s="36">
        <f t="shared" si="6"/>
        <v>118947.54509290741</v>
      </c>
      <c r="M41" s="36">
        <f t="shared" si="7"/>
        <v>24667.088114979804</v>
      </c>
      <c r="N41" s="36">
        <f t="shared" si="8"/>
        <v>5923.0659418397408</v>
      </c>
      <c r="O41" s="36">
        <f t="shared" si="9"/>
        <v>60223.272531485782</v>
      </c>
      <c r="Q41" s="36">
        <f t="shared" si="10"/>
        <v>11869.257278787276</v>
      </c>
      <c r="S41" s="28"/>
      <c r="T41" s="28"/>
    </row>
    <row r="42" spans="1:20" s="42" customFormat="1" x14ac:dyDescent="0.25">
      <c r="A42" s="4">
        <v>43374</v>
      </c>
      <c r="B42" s="39"/>
      <c r="C42" s="36">
        <f t="shared" si="2"/>
        <v>4352536.5506999996</v>
      </c>
      <c r="D42" s="36">
        <f t="shared" si="3"/>
        <v>2130455.8392999996</v>
      </c>
      <c r="E42" s="26">
        <v>7917.51</v>
      </c>
      <c r="F42" s="26">
        <v>0</v>
      </c>
      <c r="H42" s="36">
        <f t="shared" si="11"/>
        <v>1710698.6794399996</v>
      </c>
      <c r="I42" s="36">
        <f t="shared" si="4"/>
        <v>106918.66746499998</v>
      </c>
      <c r="J42" s="36">
        <f t="shared" si="5"/>
        <v>106918.66746499998</v>
      </c>
      <c r="L42" s="36">
        <f t="shared" si="6"/>
        <v>114765.14805082804</v>
      </c>
      <c r="M42" s="36">
        <f t="shared" si="7"/>
        <v>23799.751539952373</v>
      </c>
      <c r="N42" s="36">
        <f t="shared" si="8"/>
        <v>5714.8009166486599</v>
      </c>
      <c r="O42" s="36">
        <f t="shared" si="9"/>
        <v>58105.720322204877</v>
      </c>
      <c r="Q42" s="36">
        <f t="shared" si="10"/>
        <v>11451.914100366024</v>
      </c>
      <c r="S42" s="28"/>
      <c r="T42" s="28"/>
    </row>
    <row r="43" spans="1:20" s="42" customFormat="1" x14ac:dyDescent="0.25">
      <c r="A43" s="4">
        <v>43405</v>
      </c>
      <c r="B43" s="39"/>
      <c r="C43" s="36">
        <f t="shared" si="2"/>
        <v>4085215.1091</v>
      </c>
      <c r="D43" s="36">
        <f t="shared" si="3"/>
        <v>1978670.4609000001</v>
      </c>
      <c r="E43" s="26">
        <v>7165.16</v>
      </c>
      <c r="F43" s="26">
        <v>0</v>
      </c>
      <c r="H43" s="36">
        <f t="shared" si="11"/>
        <v>1588668.4967200002</v>
      </c>
      <c r="I43" s="36">
        <f t="shared" si="4"/>
        <v>99291.781045000011</v>
      </c>
      <c r="J43" s="36">
        <f t="shared" si="5"/>
        <v>99291.781045000011</v>
      </c>
      <c r="L43" s="36">
        <f t="shared" si="6"/>
        <v>106578.54443977315</v>
      </c>
      <c r="M43" s="36">
        <f t="shared" si="7"/>
        <v>22102.031150022744</v>
      </c>
      <c r="N43" s="36">
        <f t="shared" si="8"/>
        <v>5307.1439701340669</v>
      </c>
      <c r="O43" s="36">
        <f t="shared" si="9"/>
        <v>53960.833935598792</v>
      </c>
      <c r="Q43" s="36">
        <f t="shared" si="10"/>
        <v>10635.008594471279</v>
      </c>
      <c r="S43" s="28"/>
      <c r="T43" s="28"/>
    </row>
    <row r="44" spans="1:20" s="42" customFormat="1" x14ac:dyDescent="0.25">
      <c r="A44" s="4">
        <v>43435</v>
      </c>
      <c r="B44" s="39"/>
      <c r="C44" s="36">
        <f t="shared" si="2"/>
        <v>4325740.0191000002</v>
      </c>
      <c r="D44" s="36">
        <f t="shared" si="3"/>
        <v>2121245.2809000001</v>
      </c>
      <c r="E44" s="26">
        <v>4725.62</v>
      </c>
      <c r="F44" s="26">
        <f>9.62+455.44</f>
        <v>465.06</v>
      </c>
      <c r="H44" s="36">
        <f t="shared" si="11"/>
        <v>1701148.7687200001</v>
      </c>
      <c r="I44" s="36">
        <f t="shared" si="4"/>
        <v>106321.798045</v>
      </c>
      <c r="J44" s="36">
        <f t="shared" si="5"/>
        <v>106321.798045</v>
      </c>
      <c r="L44" s="36">
        <f t="shared" si="6"/>
        <v>114124.47594952512</v>
      </c>
      <c r="M44" s="36">
        <f t="shared" si="7"/>
        <v>23666.890326521661</v>
      </c>
      <c r="N44" s="36">
        <f t="shared" si="8"/>
        <v>5682.8982565294436</v>
      </c>
      <c r="O44" s="36">
        <f t="shared" si="9"/>
        <v>57781.347334683793</v>
      </c>
      <c r="Q44" s="36">
        <f t="shared" si="10"/>
        <v>11387.98422274</v>
      </c>
      <c r="S44" s="28"/>
      <c r="T44" s="28"/>
    </row>
    <row r="45" spans="1:20" s="42" customFormat="1" x14ac:dyDescent="0.25">
      <c r="A45" s="4">
        <v>43466</v>
      </c>
      <c r="B45" s="39"/>
      <c r="C45" s="36">
        <f t="shared" si="2"/>
        <v>3808851.1227000002</v>
      </c>
      <c r="D45" s="36">
        <f t="shared" si="3"/>
        <v>1867314.4173000001</v>
      </c>
      <c r="E45" s="26">
        <v>7313.45</v>
      </c>
      <c r="F45" s="26">
        <f>10000+788.25</f>
        <v>10788.25</v>
      </c>
      <c r="H45" s="36">
        <f t="shared" si="11"/>
        <v>1508332.8938400003</v>
      </c>
      <c r="I45" s="36">
        <f t="shared" si="4"/>
        <v>94270.805865000017</v>
      </c>
      <c r="J45" s="36">
        <f t="shared" si="5"/>
        <v>94270.805865000017</v>
      </c>
      <c r="L45" s="36">
        <f t="shared" si="6"/>
        <v>101189.09306000482</v>
      </c>
      <c r="M45" s="36">
        <f t="shared" si="7"/>
        <v>20984.378221815557</v>
      </c>
      <c r="N45" s="36">
        <f t="shared" si="8"/>
        <v>5038.7729340797014</v>
      </c>
      <c r="O45" s="36">
        <f t="shared" si="9"/>
        <v>51232.148791357584</v>
      </c>
      <c r="Q45" s="36">
        <f t="shared" si="10"/>
        <v>10097.218722742356</v>
      </c>
      <c r="S45" s="28"/>
      <c r="T45" s="28"/>
    </row>
    <row r="46" spans="1:20" s="42" customFormat="1" x14ac:dyDescent="0.25">
      <c r="A46" s="4">
        <v>43497</v>
      </c>
      <c r="B46" s="39"/>
      <c r="C46" s="36">
        <f t="shared" si="2"/>
        <v>4454548.1882999996</v>
      </c>
      <c r="D46" s="36">
        <f t="shared" si="3"/>
        <v>2135637.4716999996</v>
      </c>
      <c r="E46" s="26">
        <v>9724.2900000000009</v>
      </c>
      <c r="F46" s="26">
        <v>69.72</v>
      </c>
      <c r="H46" s="36">
        <f t="shared" si="11"/>
        <v>1716345.18536</v>
      </c>
      <c r="I46" s="36">
        <f t="shared" si="4"/>
        <v>107271.574085</v>
      </c>
      <c r="J46" s="36">
        <f t="shared" si="5"/>
        <v>107271.574085</v>
      </c>
      <c r="L46" s="36">
        <f t="shared" si="6"/>
        <v>115143.95356208897</v>
      </c>
      <c r="M46" s="36">
        <f t="shared" si="7"/>
        <v>23878.307418658533</v>
      </c>
      <c r="N46" s="36">
        <f t="shared" si="8"/>
        <v>5733.6637693504827</v>
      </c>
      <c r="O46" s="36">
        <f t="shared" si="9"/>
        <v>58297.50996799604</v>
      </c>
      <c r="Q46" s="36">
        <f t="shared" si="10"/>
        <v>11489.713451905958</v>
      </c>
      <c r="S46" s="28"/>
      <c r="T46" s="28"/>
    </row>
    <row r="47" spans="1:20" s="42" customFormat="1" x14ac:dyDescent="0.25">
      <c r="A47" s="4">
        <v>43525</v>
      </c>
      <c r="B47" s="39"/>
      <c r="C47" s="36">
        <f t="shared" si="2"/>
        <v>5342525.5823999997</v>
      </c>
      <c r="D47" s="36">
        <f t="shared" si="3"/>
        <v>2607314.1476000003</v>
      </c>
      <c r="E47" s="26">
        <v>7147.71</v>
      </c>
      <c r="F47" s="26">
        <v>224.19</v>
      </c>
      <c r="H47" s="36">
        <f t="shared" si="11"/>
        <v>2091748.8380800001</v>
      </c>
      <c r="I47" s="36">
        <f t="shared" si="4"/>
        <v>130734.30238000001</v>
      </c>
      <c r="J47" s="36">
        <f t="shared" si="5"/>
        <v>130734.30238000001</v>
      </c>
      <c r="L47" s="36">
        <f t="shared" si="6"/>
        <v>140328.54995011905</v>
      </c>
      <c r="M47" s="36">
        <f t="shared" si="7"/>
        <v>29101.035283773443</v>
      </c>
      <c r="N47" s="36">
        <f t="shared" si="8"/>
        <v>6987.7461886926185</v>
      </c>
      <c r="O47" s="36">
        <f t="shared" si="9"/>
        <v>71048.498739451112</v>
      </c>
      <c r="Q47" s="36">
        <f t="shared" si="10"/>
        <v>14002.774597963777</v>
      </c>
      <c r="S47" s="28"/>
      <c r="T47" s="28"/>
    </row>
    <row r="48" spans="1:20" s="42" customFormat="1" ht="15.75" thickBot="1" x14ac:dyDescent="0.3">
      <c r="A48" s="4" t="s">
        <v>28</v>
      </c>
      <c r="B48" s="39"/>
      <c r="C48" s="51">
        <f t="shared" ref="C48:D48" si="12">SUM(C36:C47)</f>
        <v>53145475.517700002</v>
      </c>
      <c r="D48" s="51">
        <f t="shared" si="12"/>
        <v>26346724.842300002</v>
      </c>
      <c r="E48" s="31">
        <f>SUM(E36:E47)</f>
        <v>88190.940000000017</v>
      </c>
      <c r="F48" s="51">
        <f>SUM(F36:F47)</f>
        <v>12334.66</v>
      </c>
      <c r="G48" s="36"/>
      <c r="H48" s="51">
        <f>SUM(H36:H47)</f>
        <v>21157800.353840001</v>
      </c>
      <c r="I48" s="51">
        <f t="shared" ref="I48:Q48" si="13">SUM(I36:I47)</f>
        <v>1322362.5221150001</v>
      </c>
      <c r="J48" s="51">
        <f t="shared" si="13"/>
        <v>1322362.5221150001</v>
      </c>
      <c r="K48" s="51"/>
      <c r="L48" s="51">
        <f t="shared" si="13"/>
        <v>1419407.239405351</v>
      </c>
      <c r="M48" s="51">
        <f t="shared" si="13"/>
        <v>294353.64486172784</v>
      </c>
      <c r="N48" s="51">
        <f t="shared" si="13"/>
        <v>70680.253810668248</v>
      </c>
      <c r="O48" s="51">
        <f t="shared" si="13"/>
        <v>718647.44198885886</v>
      </c>
      <c r="P48" s="51"/>
      <c r="Q48" s="51">
        <f t="shared" si="13"/>
        <v>141636.46416339435</v>
      </c>
      <c r="S48" s="28"/>
      <c r="T48" s="28"/>
    </row>
    <row r="49" spans="1:18" s="42" customFormat="1" ht="15.75" thickTop="1" x14ac:dyDescent="0.25">
      <c r="A49" s="39"/>
      <c r="B49" s="39"/>
      <c r="C49" s="36"/>
      <c r="D49" s="40"/>
      <c r="E49" s="40"/>
      <c r="F49" s="40"/>
      <c r="G49" s="40"/>
      <c r="H49" s="40"/>
      <c r="I49" s="40"/>
      <c r="L49" s="40"/>
      <c r="M49" s="40"/>
      <c r="N49" s="40"/>
      <c r="O49" s="40"/>
      <c r="Q49" s="40"/>
    </row>
    <row r="50" spans="1:18" s="42" customFormat="1" x14ac:dyDescent="0.25">
      <c r="A50" s="39"/>
      <c r="B50" s="39"/>
      <c r="C50" s="40">
        <f>C48/T26</f>
        <v>0.66856213914091733</v>
      </c>
      <c r="D50" s="40">
        <f>D48/T26</f>
        <v>0.33143786085908267</v>
      </c>
      <c r="E50" s="40"/>
      <c r="F50" s="40"/>
      <c r="G50" s="40"/>
      <c r="H50" s="40">
        <f>H48/($D$48+$E$48+$F$48)</f>
        <v>0.79999999999999993</v>
      </c>
      <c r="I50" s="40">
        <f t="shared" ref="I50:Q50" si="14">I48/($D$48+$E$48+$F$48)</f>
        <v>4.9999999999999996E-2</v>
      </c>
      <c r="J50" s="40">
        <f t="shared" si="14"/>
        <v>4.9999999999999996E-2</v>
      </c>
      <c r="K50" s="40"/>
      <c r="L50" s="40">
        <f t="shared" si="14"/>
        <v>5.3669368863204642E-2</v>
      </c>
      <c r="M50" s="40">
        <f t="shared" si="14"/>
        <v>1.112983920592878E-2</v>
      </c>
      <c r="N50" s="40">
        <f t="shared" si="14"/>
        <v>2.672499130481312E-3</v>
      </c>
      <c r="O50" s="40">
        <f t="shared" si="14"/>
        <v>2.7172860315167083E-2</v>
      </c>
      <c r="P50" s="40"/>
      <c r="Q50" s="40">
        <f t="shared" si="14"/>
        <v>5.3554324852181819E-3</v>
      </c>
    </row>
    <row r="51" spans="1:18" s="42" customFormat="1" x14ac:dyDescent="0.25">
      <c r="A51" s="39"/>
      <c r="B51" s="39"/>
      <c r="C51" s="40"/>
      <c r="D51" s="40"/>
      <c r="H51" s="40"/>
      <c r="I51" s="40"/>
      <c r="J51" s="40"/>
      <c r="K51" s="40"/>
      <c r="L51" s="40"/>
      <c r="M51" s="40"/>
      <c r="N51" s="40"/>
      <c r="O51" s="40"/>
      <c r="P51" s="40"/>
      <c r="Q51" s="40"/>
      <c r="R51" s="40"/>
    </row>
    <row r="52" spans="1:18" s="42" customFormat="1" x14ac:dyDescent="0.25">
      <c r="A52" s="52" t="s">
        <v>53</v>
      </c>
      <c r="B52" s="39"/>
      <c r="C52" s="40"/>
      <c r="D52" s="40"/>
      <c r="H52" s="40"/>
      <c r="I52" s="40"/>
      <c r="J52" s="40"/>
      <c r="K52" s="40"/>
      <c r="L52" s="40"/>
      <c r="M52" s="40"/>
      <c r="N52" s="40"/>
      <c r="O52" s="40"/>
      <c r="P52" s="40"/>
      <c r="Q52" s="40"/>
      <c r="R52" s="40"/>
    </row>
    <row r="53" spans="1:18" s="42" customFormat="1" x14ac:dyDescent="0.25">
      <c r="A53" s="53" t="s">
        <v>54</v>
      </c>
      <c r="B53" s="39"/>
      <c r="C53" s="40"/>
      <c r="D53" s="40"/>
      <c r="H53" s="40"/>
      <c r="I53" s="40"/>
      <c r="J53" s="40"/>
      <c r="K53" s="40"/>
      <c r="L53" s="40"/>
      <c r="M53" s="40"/>
      <c r="N53" s="40"/>
      <c r="O53" s="40"/>
      <c r="P53" s="40"/>
      <c r="Q53" s="40"/>
      <c r="R53" s="40"/>
    </row>
    <row r="54" spans="1:18" s="42" customFormat="1" x14ac:dyDescent="0.25">
      <c r="A54" s="53" t="s">
        <v>55</v>
      </c>
      <c r="B54" s="39"/>
      <c r="C54" s="40"/>
      <c r="D54" s="40"/>
      <c r="H54" s="40"/>
      <c r="I54" s="40"/>
      <c r="J54" s="40"/>
      <c r="K54" s="40"/>
      <c r="L54" s="40"/>
      <c r="M54" s="40"/>
      <c r="N54" s="40"/>
      <c r="O54" s="40"/>
      <c r="P54" s="40"/>
      <c r="Q54" s="40"/>
      <c r="R54" s="40"/>
    </row>
    <row r="55" spans="1:18" s="42" customFormat="1" x14ac:dyDescent="0.25">
      <c r="A55" s="53" t="s">
        <v>56</v>
      </c>
      <c r="B55" s="39"/>
      <c r="C55" s="40"/>
      <c r="D55" s="40"/>
      <c r="H55" s="40"/>
      <c r="I55" s="40"/>
      <c r="J55" s="40"/>
      <c r="K55" s="40"/>
      <c r="L55" s="40"/>
      <c r="M55" s="40"/>
      <c r="N55" s="40"/>
      <c r="O55" s="40"/>
      <c r="P55" s="40"/>
      <c r="Q55" s="40"/>
      <c r="R55" s="40"/>
    </row>
    <row r="56" spans="1:18" s="42" customFormat="1" x14ac:dyDescent="0.25">
      <c r="A56" s="53"/>
      <c r="B56" s="39"/>
      <c r="C56" s="40"/>
      <c r="D56" s="40"/>
      <c r="H56" s="40"/>
      <c r="I56" s="40"/>
      <c r="J56" s="40"/>
      <c r="K56" s="40"/>
      <c r="L56" s="40"/>
      <c r="M56" s="40"/>
      <c r="N56" s="40"/>
      <c r="O56" s="40"/>
      <c r="P56" s="40"/>
      <c r="Q56" s="40"/>
      <c r="R56" s="40"/>
    </row>
    <row r="57" spans="1:18" s="42" customFormat="1" x14ac:dyDescent="0.25">
      <c r="A57" s="53" t="s">
        <v>57</v>
      </c>
      <c r="B57" s="39"/>
      <c r="C57" s="40"/>
      <c r="D57" s="54"/>
      <c r="H57" s="40"/>
      <c r="I57" s="40"/>
      <c r="J57" s="40"/>
      <c r="K57" s="40"/>
      <c r="L57" s="40"/>
      <c r="M57" s="40"/>
      <c r="N57" s="40"/>
      <c r="O57" s="40"/>
      <c r="P57" s="40"/>
      <c r="Q57" s="40"/>
      <c r="R57" s="40"/>
    </row>
    <row r="59" spans="1:18" s="42" customFormat="1" x14ac:dyDescent="0.25">
      <c r="A59" s="53" t="s">
        <v>58</v>
      </c>
      <c r="B59" s="39"/>
      <c r="C59" s="40"/>
      <c r="D59" s="54"/>
      <c r="H59" s="40"/>
      <c r="I59" s="40"/>
      <c r="J59" s="40"/>
      <c r="K59" s="40"/>
      <c r="L59" s="40"/>
      <c r="M59" s="40"/>
      <c r="N59" s="40"/>
      <c r="O59" s="40"/>
      <c r="P59" s="40"/>
      <c r="Q59" s="40"/>
      <c r="R59" s="40"/>
    </row>
    <row r="60" spans="1:18" s="42" customFormat="1" x14ac:dyDescent="0.25">
      <c r="A60" s="53" t="s">
        <v>59</v>
      </c>
      <c r="B60" s="39"/>
      <c r="C60" s="40"/>
      <c r="D60" s="54"/>
      <c r="H60" s="40"/>
      <c r="I60" s="40"/>
      <c r="J60" s="40"/>
      <c r="K60" s="40"/>
      <c r="L60" s="40"/>
      <c r="M60" s="40"/>
      <c r="N60" s="40"/>
      <c r="O60" s="40"/>
      <c r="P60" s="40"/>
      <c r="Q60" s="40"/>
      <c r="R60" s="40"/>
    </row>
    <row r="62" spans="1:18" x14ac:dyDescent="0.25">
      <c r="A62" s="53" t="s">
        <v>60</v>
      </c>
    </row>
    <row r="63" spans="1:18" x14ac:dyDescent="0.25">
      <c r="A63" s="53"/>
      <c r="B63" s="55"/>
      <c r="C63" s="56"/>
      <c r="D63" s="56"/>
      <c r="E63" s="56"/>
      <c r="F63" s="56"/>
      <c r="G63" s="56"/>
      <c r="H63" s="56"/>
      <c r="I63" s="57"/>
      <c r="J63" s="56"/>
      <c r="K63" s="56"/>
      <c r="L63" s="56"/>
      <c r="M63" s="56"/>
      <c r="N63" s="56"/>
      <c r="O63" s="56"/>
    </row>
    <row r="64" spans="1:18" x14ac:dyDescent="0.25">
      <c r="A64" s="53"/>
    </row>
    <row r="66" spans="4:4" x14ac:dyDescent="0.25">
      <c r="D66" s="58"/>
    </row>
  </sheetData>
  <mergeCells count="12">
    <mergeCell ref="L34:Q34"/>
    <mergeCell ref="A1:T1"/>
    <mergeCell ref="A2:T2"/>
    <mergeCell ref="A3:T3"/>
    <mergeCell ref="A4:T4"/>
    <mergeCell ref="A5:T5"/>
    <mergeCell ref="A8:T8"/>
    <mergeCell ref="C10:I10"/>
    <mergeCell ref="L10:O10"/>
    <mergeCell ref="Q10:R10"/>
    <mergeCell ref="A30:T30"/>
    <mergeCell ref="H32:Q32"/>
  </mergeCells>
  <hyperlinks>
    <hyperlink ref="A4" r:id="rId1" xr:uid="{00000000-0004-0000-0100-000000000000}"/>
  </hyperlinks>
  <printOptions horizontalCentered="1" verticalCentered="1"/>
  <pageMargins left="0" right="0" top="0.25" bottom="0.25" header="0.3" footer="0.3"/>
  <pageSetup scale="65"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6"/>
  <sheetViews>
    <sheetView topLeftCell="A37" workbookViewId="0">
      <selection activeCell="J26" sqref="J26"/>
    </sheetView>
  </sheetViews>
  <sheetFormatPr defaultRowHeight="15" x14ac:dyDescent="0.25"/>
  <cols>
    <col min="1" max="1" width="9.28515625" style="4" customWidth="1"/>
    <col min="2" max="2" width="1.7109375" style="4" customWidth="1"/>
    <col min="3" max="3" width="12.85546875" style="28" customWidth="1"/>
    <col min="4" max="4" width="11.85546875" style="28" customWidth="1"/>
    <col min="5" max="5" width="12.85546875" style="28" customWidth="1"/>
    <col min="6" max="6" width="15.85546875" style="28" customWidth="1"/>
    <col min="7" max="7" width="1.85546875" style="28" customWidth="1"/>
    <col min="8" max="8" width="14.28515625" style="28" customWidth="1"/>
    <col min="9" max="9" width="10.7109375" style="37" customWidth="1"/>
    <col min="10" max="10" width="10.5703125" style="28" customWidth="1"/>
    <col min="11" max="11" width="1.140625" style="28" customWidth="1"/>
    <col min="12" max="12" width="11.85546875" style="28" customWidth="1"/>
    <col min="13" max="13" width="12.7109375" style="28" customWidth="1"/>
    <col min="14" max="14" width="11.5703125" style="28" customWidth="1"/>
    <col min="15" max="15" width="12.42578125" style="28" customWidth="1"/>
    <col min="16" max="16" width="1.5703125" style="28" customWidth="1"/>
    <col min="17" max="17" width="11.42578125" style="28" customWidth="1"/>
    <col min="18" max="18" width="12.140625" style="28" customWidth="1"/>
    <col min="19" max="19" width="1.7109375" style="1" customWidth="1"/>
    <col min="20" max="20" width="14.28515625" style="1" customWidth="1"/>
    <col min="21" max="21" width="9.85546875" style="1" customWidth="1"/>
    <col min="22" max="257" width="8.85546875" style="1"/>
    <col min="258" max="258" width="9.28515625" style="1" customWidth="1"/>
    <col min="259" max="259" width="1.7109375" style="1" customWidth="1"/>
    <col min="260" max="263" width="12" style="1" customWidth="1"/>
    <col min="264" max="264" width="11.85546875" style="1" customWidth="1"/>
    <col min="265" max="265" width="10.7109375" style="1" customWidth="1"/>
    <col min="266" max="266" width="10.5703125" style="1" customWidth="1"/>
    <col min="267" max="267" width="1.140625" style="1" customWidth="1"/>
    <col min="268" max="268" width="11.28515625" style="1" customWidth="1"/>
    <col min="269" max="269" width="12.7109375" style="1" customWidth="1"/>
    <col min="270" max="270" width="11.5703125" style="1" customWidth="1"/>
    <col min="271" max="271" width="12.42578125" style="1" customWidth="1"/>
    <col min="272" max="272" width="1.5703125" style="1" customWidth="1"/>
    <col min="273" max="273" width="11.42578125" style="1" customWidth="1"/>
    <col min="274" max="274" width="12.140625" style="1" customWidth="1"/>
    <col min="275" max="275" width="1.7109375" style="1" customWidth="1"/>
    <col min="276" max="276" width="13.5703125" style="1" customWidth="1"/>
    <col min="277" max="513" width="8.85546875" style="1"/>
    <col min="514" max="514" width="9.28515625" style="1" customWidth="1"/>
    <col min="515" max="515" width="1.7109375" style="1" customWidth="1"/>
    <col min="516" max="519" width="12" style="1" customWidth="1"/>
    <col min="520" max="520" width="11.85546875" style="1" customWidth="1"/>
    <col min="521" max="521" width="10.7109375" style="1" customWidth="1"/>
    <col min="522" max="522" width="10.5703125" style="1" customWidth="1"/>
    <col min="523" max="523" width="1.140625" style="1" customWidth="1"/>
    <col min="524" max="524" width="11.28515625" style="1" customWidth="1"/>
    <col min="525" max="525" width="12.7109375" style="1" customWidth="1"/>
    <col min="526" max="526" width="11.5703125" style="1" customWidth="1"/>
    <col min="527" max="527" width="12.42578125" style="1" customWidth="1"/>
    <col min="528" max="528" width="1.5703125" style="1" customWidth="1"/>
    <col min="529" max="529" width="11.42578125" style="1" customWidth="1"/>
    <col min="530" max="530" width="12.140625" style="1" customWidth="1"/>
    <col min="531" max="531" width="1.7109375" style="1" customWidth="1"/>
    <col min="532" max="532" width="13.5703125" style="1" customWidth="1"/>
    <col min="533" max="769" width="8.85546875" style="1"/>
    <col min="770" max="770" width="9.28515625" style="1" customWidth="1"/>
    <col min="771" max="771" width="1.7109375" style="1" customWidth="1"/>
    <col min="772" max="775" width="12" style="1" customWidth="1"/>
    <col min="776" max="776" width="11.85546875" style="1" customWidth="1"/>
    <col min="777" max="777" width="10.7109375" style="1" customWidth="1"/>
    <col min="778" max="778" width="10.5703125" style="1" customWidth="1"/>
    <col min="779" max="779" width="1.140625" style="1" customWidth="1"/>
    <col min="780" max="780" width="11.28515625" style="1" customWidth="1"/>
    <col min="781" max="781" width="12.7109375" style="1" customWidth="1"/>
    <col min="782" max="782" width="11.5703125" style="1" customWidth="1"/>
    <col min="783" max="783" width="12.42578125" style="1" customWidth="1"/>
    <col min="784" max="784" width="1.5703125" style="1" customWidth="1"/>
    <col min="785" max="785" width="11.42578125" style="1" customWidth="1"/>
    <col min="786" max="786" width="12.140625" style="1" customWidth="1"/>
    <col min="787" max="787" width="1.7109375" style="1" customWidth="1"/>
    <col min="788" max="788" width="13.5703125" style="1" customWidth="1"/>
    <col min="789" max="1025" width="8.85546875" style="1"/>
    <col min="1026" max="1026" width="9.28515625" style="1" customWidth="1"/>
    <col min="1027" max="1027" width="1.7109375" style="1" customWidth="1"/>
    <col min="1028" max="1031" width="12" style="1" customWidth="1"/>
    <col min="1032" max="1032" width="11.85546875" style="1" customWidth="1"/>
    <col min="1033" max="1033" width="10.7109375" style="1" customWidth="1"/>
    <col min="1034" max="1034" width="10.5703125" style="1" customWidth="1"/>
    <col min="1035" max="1035" width="1.140625" style="1" customWidth="1"/>
    <col min="1036" max="1036" width="11.28515625" style="1" customWidth="1"/>
    <col min="1037" max="1037" width="12.7109375" style="1" customWidth="1"/>
    <col min="1038" max="1038" width="11.5703125" style="1" customWidth="1"/>
    <col min="1039" max="1039" width="12.42578125" style="1" customWidth="1"/>
    <col min="1040" max="1040" width="1.5703125" style="1" customWidth="1"/>
    <col min="1041" max="1041" width="11.42578125" style="1" customWidth="1"/>
    <col min="1042" max="1042" width="12.140625" style="1" customWidth="1"/>
    <col min="1043" max="1043" width="1.7109375" style="1" customWidth="1"/>
    <col min="1044" max="1044" width="13.5703125" style="1" customWidth="1"/>
    <col min="1045" max="1281" width="8.85546875" style="1"/>
    <col min="1282" max="1282" width="9.28515625" style="1" customWidth="1"/>
    <col min="1283" max="1283" width="1.7109375" style="1" customWidth="1"/>
    <col min="1284" max="1287" width="12" style="1" customWidth="1"/>
    <col min="1288" max="1288" width="11.85546875" style="1" customWidth="1"/>
    <col min="1289" max="1289" width="10.7109375" style="1" customWidth="1"/>
    <col min="1290" max="1290" width="10.5703125" style="1" customWidth="1"/>
    <col min="1291" max="1291" width="1.140625" style="1" customWidth="1"/>
    <col min="1292" max="1292" width="11.28515625" style="1" customWidth="1"/>
    <col min="1293" max="1293" width="12.7109375" style="1" customWidth="1"/>
    <col min="1294" max="1294" width="11.5703125" style="1" customWidth="1"/>
    <col min="1295" max="1295" width="12.42578125" style="1" customWidth="1"/>
    <col min="1296" max="1296" width="1.5703125" style="1" customWidth="1"/>
    <col min="1297" max="1297" width="11.42578125" style="1" customWidth="1"/>
    <col min="1298" max="1298" width="12.140625" style="1" customWidth="1"/>
    <col min="1299" max="1299" width="1.7109375" style="1" customWidth="1"/>
    <col min="1300" max="1300" width="13.5703125" style="1" customWidth="1"/>
    <col min="1301" max="1537" width="8.85546875" style="1"/>
    <col min="1538" max="1538" width="9.28515625" style="1" customWidth="1"/>
    <col min="1539" max="1539" width="1.7109375" style="1" customWidth="1"/>
    <col min="1540" max="1543" width="12" style="1" customWidth="1"/>
    <col min="1544" max="1544" width="11.85546875" style="1" customWidth="1"/>
    <col min="1545" max="1545" width="10.7109375" style="1" customWidth="1"/>
    <col min="1546" max="1546" width="10.5703125" style="1" customWidth="1"/>
    <col min="1547" max="1547" width="1.140625" style="1" customWidth="1"/>
    <col min="1548" max="1548" width="11.28515625" style="1" customWidth="1"/>
    <col min="1549" max="1549" width="12.7109375" style="1" customWidth="1"/>
    <col min="1550" max="1550" width="11.5703125" style="1" customWidth="1"/>
    <col min="1551" max="1551" width="12.42578125" style="1" customWidth="1"/>
    <col min="1552" max="1552" width="1.5703125" style="1" customWidth="1"/>
    <col min="1553" max="1553" width="11.42578125" style="1" customWidth="1"/>
    <col min="1554" max="1554" width="12.140625" style="1" customWidth="1"/>
    <col min="1555" max="1555" width="1.7109375" style="1" customWidth="1"/>
    <col min="1556" max="1556" width="13.5703125" style="1" customWidth="1"/>
    <col min="1557" max="1793" width="8.85546875" style="1"/>
    <col min="1794" max="1794" width="9.28515625" style="1" customWidth="1"/>
    <col min="1795" max="1795" width="1.7109375" style="1" customWidth="1"/>
    <col min="1796" max="1799" width="12" style="1" customWidth="1"/>
    <col min="1800" max="1800" width="11.85546875" style="1" customWidth="1"/>
    <col min="1801" max="1801" width="10.7109375" style="1" customWidth="1"/>
    <col min="1802" max="1802" width="10.5703125" style="1" customWidth="1"/>
    <col min="1803" max="1803" width="1.140625" style="1" customWidth="1"/>
    <col min="1804" max="1804" width="11.28515625" style="1" customWidth="1"/>
    <col min="1805" max="1805" width="12.7109375" style="1" customWidth="1"/>
    <col min="1806" max="1806" width="11.5703125" style="1" customWidth="1"/>
    <col min="1807" max="1807" width="12.42578125" style="1" customWidth="1"/>
    <col min="1808" max="1808" width="1.5703125" style="1" customWidth="1"/>
    <col min="1809" max="1809" width="11.42578125" style="1" customWidth="1"/>
    <col min="1810" max="1810" width="12.140625" style="1" customWidth="1"/>
    <col min="1811" max="1811" width="1.7109375" style="1" customWidth="1"/>
    <col min="1812" max="1812" width="13.5703125" style="1" customWidth="1"/>
    <col min="1813" max="2049" width="8.85546875" style="1"/>
    <col min="2050" max="2050" width="9.28515625" style="1" customWidth="1"/>
    <col min="2051" max="2051" width="1.7109375" style="1" customWidth="1"/>
    <col min="2052" max="2055" width="12" style="1" customWidth="1"/>
    <col min="2056" max="2056" width="11.85546875" style="1" customWidth="1"/>
    <col min="2057" max="2057" width="10.7109375" style="1" customWidth="1"/>
    <col min="2058" max="2058" width="10.5703125" style="1" customWidth="1"/>
    <col min="2059" max="2059" width="1.140625" style="1" customWidth="1"/>
    <col min="2060" max="2060" width="11.28515625" style="1" customWidth="1"/>
    <col min="2061" max="2061" width="12.7109375" style="1" customWidth="1"/>
    <col min="2062" max="2062" width="11.5703125" style="1" customWidth="1"/>
    <col min="2063" max="2063" width="12.42578125" style="1" customWidth="1"/>
    <col min="2064" max="2064" width="1.5703125" style="1" customWidth="1"/>
    <col min="2065" max="2065" width="11.42578125" style="1" customWidth="1"/>
    <col min="2066" max="2066" width="12.140625" style="1" customWidth="1"/>
    <col min="2067" max="2067" width="1.7109375" style="1" customWidth="1"/>
    <col min="2068" max="2068" width="13.5703125" style="1" customWidth="1"/>
    <col min="2069" max="2305" width="8.85546875" style="1"/>
    <col min="2306" max="2306" width="9.28515625" style="1" customWidth="1"/>
    <col min="2307" max="2307" width="1.7109375" style="1" customWidth="1"/>
    <col min="2308" max="2311" width="12" style="1" customWidth="1"/>
    <col min="2312" max="2312" width="11.85546875" style="1" customWidth="1"/>
    <col min="2313" max="2313" width="10.7109375" style="1" customWidth="1"/>
    <col min="2314" max="2314" width="10.5703125" style="1" customWidth="1"/>
    <col min="2315" max="2315" width="1.140625" style="1" customWidth="1"/>
    <col min="2316" max="2316" width="11.28515625" style="1" customWidth="1"/>
    <col min="2317" max="2317" width="12.7109375" style="1" customWidth="1"/>
    <col min="2318" max="2318" width="11.5703125" style="1" customWidth="1"/>
    <col min="2319" max="2319" width="12.42578125" style="1" customWidth="1"/>
    <col min="2320" max="2320" width="1.5703125" style="1" customWidth="1"/>
    <col min="2321" max="2321" width="11.42578125" style="1" customWidth="1"/>
    <col min="2322" max="2322" width="12.140625" style="1" customWidth="1"/>
    <col min="2323" max="2323" width="1.7109375" style="1" customWidth="1"/>
    <col min="2324" max="2324" width="13.5703125" style="1" customWidth="1"/>
    <col min="2325" max="2561" width="8.85546875" style="1"/>
    <col min="2562" max="2562" width="9.28515625" style="1" customWidth="1"/>
    <col min="2563" max="2563" width="1.7109375" style="1" customWidth="1"/>
    <col min="2564" max="2567" width="12" style="1" customWidth="1"/>
    <col min="2568" max="2568" width="11.85546875" style="1" customWidth="1"/>
    <col min="2569" max="2569" width="10.7109375" style="1" customWidth="1"/>
    <col min="2570" max="2570" width="10.5703125" style="1" customWidth="1"/>
    <col min="2571" max="2571" width="1.140625" style="1" customWidth="1"/>
    <col min="2572" max="2572" width="11.28515625" style="1" customWidth="1"/>
    <col min="2573" max="2573" width="12.7109375" style="1" customWidth="1"/>
    <col min="2574" max="2574" width="11.5703125" style="1" customWidth="1"/>
    <col min="2575" max="2575" width="12.42578125" style="1" customWidth="1"/>
    <col min="2576" max="2576" width="1.5703125" style="1" customWidth="1"/>
    <col min="2577" max="2577" width="11.42578125" style="1" customWidth="1"/>
    <col min="2578" max="2578" width="12.140625" style="1" customWidth="1"/>
    <col min="2579" max="2579" width="1.7109375" style="1" customWidth="1"/>
    <col min="2580" max="2580" width="13.5703125" style="1" customWidth="1"/>
    <col min="2581" max="2817" width="8.85546875" style="1"/>
    <col min="2818" max="2818" width="9.28515625" style="1" customWidth="1"/>
    <col min="2819" max="2819" width="1.7109375" style="1" customWidth="1"/>
    <col min="2820" max="2823" width="12" style="1" customWidth="1"/>
    <col min="2824" max="2824" width="11.85546875" style="1" customWidth="1"/>
    <col min="2825" max="2825" width="10.7109375" style="1" customWidth="1"/>
    <col min="2826" max="2826" width="10.5703125" style="1" customWidth="1"/>
    <col min="2827" max="2827" width="1.140625" style="1" customWidth="1"/>
    <col min="2828" max="2828" width="11.28515625" style="1" customWidth="1"/>
    <col min="2829" max="2829" width="12.7109375" style="1" customWidth="1"/>
    <col min="2830" max="2830" width="11.5703125" style="1" customWidth="1"/>
    <col min="2831" max="2831" width="12.42578125" style="1" customWidth="1"/>
    <col min="2832" max="2832" width="1.5703125" style="1" customWidth="1"/>
    <col min="2833" max="2833" width="11.42578125" style="1" customWidth="1"/>
    <col min="2834" max="2834" width="12.140625" style="1" customWidth="1"/>
    <col min="2835" max="2835" width="1.7109375" style="1" customWidth="1"/>
    <col min="2836" max="2836" width="13.5703125" style="1" customWidth="1"/>
    <col min="2837" max="3073" width="8.85546875" style="1"/>
    <col min="3074" max="3074" width="9.28515625" style="1" customWidth="1"/>
    <col min="3075" max="3075" width="1.7109375" style="1" customWidth="1"/>
    <col min="3076" max="3079" width="12" style="1" customWidth="1"/>
    <col min="3080" max="3080" width="11.85546875" style="1" customWidth="1"/>
    <col min="3081" max="3081" width="10.7109375" style="1" customWidth="1"/>
    <col min="3082" max="3082" width="10.5703125" style="1" customWidth="1"/>
    <col min="3083" max="3083" width="1.140625" style="1" customWidth="1"/>
    <col min="3084" max="3084" width="11.28515625" style="1" customWidth="1"/>
    <col min="3085" max="3085" width="12.7109375" style="1" customWidth="1"/>
    <col min="3086" max="3086" width="11.5703125" style="1" customWidth="1"/>
    <col min="3087" max="3087" width="12.42578125" style="1" customWidth="1"/>
    <col min="3088" max="3088" width="1.5703125" style="1" customWidth="1"/>
    <col min="3089" max="3089" width="11.42578125" style="1" customWidth="1"/>
    <col min="3090" max="3090" width="12.140625" style="1" customWidth="1"/>
    <col min="3091" max="3091" width="1.7109375" style="1" customWidth="1"/>
    <col min="3092" max="3092" width="13.5703125" style="1" customWidth="1"/>
    <col min="3093" max="3329" width="8.85546875" style="1"/>
    <col min="3330" max="3330" width="9.28515625" style="1" customWidth="1"/>
    <col min="3331" max="3331" width="1.7109375" style="1" customWidth="1"/>
    <col min="3332" max="3335" width="12" style="1" customWidth="1"/>
    <col min="3336" max="3336" width="11.85546875" style="1" customWidth="1"/>
    <col min="3337" max="3337" width="10.7109375" style="1" customWidth="1"/>
    <col min="3338" max="3338" width="10.5703125" style="1" customWidth="1"/>
    <col min="3339" max="3339" width="1.140625" style="1" customWidth="1"/>
    <col min="3340" max="3340" width="11.28515625" style="1" customWidth="1"/>
    <col min="3341" max="3341" width="12.7109375" style="1" customWidth="1"/>
    <col min="3342" max="3342" width="11.5703125" style="1" customWidth="1"/>
    <col min="3343" max="3343" width="12.42578125" style="1" customWidth="1"/>
    <col min="3344" max="3344" width="1.5703125" style="1" customWidth="1"/>
    <col min="3345" max="3345" width="11.42578125" style="1" customWidth="1"/>
    <col min="3346" max="3346" width="12.140625" style="1" customWidth="1"/>
    <col min="3347" max="3347" width="1.7109375" style="1" customWidth="1"/>
    <col min="3348" max="3348" width="13.5703125" style="1" customWidth="1"/>
    <col min="3349" max="3585" width="8.85546875" style="1"/>
    <col min="3586" max="3586" width="9.28515625" style="1" customWidth="1"/>
    <col min="3587" max="3587" width="1.7109375" style="1" customWidth="1"/>
    <col min="3588" max="3591" width="12" style="1" customWidth="1"/>
    <col min="3592" max="3592" width="11.85546875" style="1" customWidth="1"/>
    <col min="3593" max="3593" width="10.7109375" style="1" customWidth="1"/>
    <col min="3594" max="3594" width="10.5703125" style="1" customWidth="1"/>
    <col min="3595" max="3595" width="1.140625" style="1" customWidth="1"/>
    <col min="3596" max="3596" width="11.28515625" style="1" customWidth="1"/>
    <col min="3597" max="3597" width="12.7109375" style="1" customWidth="1"/>
    <col min="3598" max="3598" width="11.5703125" style="1" customWidth="1"/>
    <col min="3599" max="3599" width="12.42578125" style="1" customWidth="1"/>
    <col min="3600" max="3600" width="1.5703125" style="1" customWidth="1"/>
    <col min="3601" max="3601" width="11.42578125" style="1" customWidth="1"/>
    <col min="3602" max="3602" width="12.140625" style="1" customWidth="1"/>
    <col min="3603" max="3603" width="1.7109375" style="1" customWidth="1"/>
    <col min="3604" max="3604" width="13.5703125" style="1" customWidth="1"/>
    <col min="3605" max="3841" width="8.85546875" style="1"/>
    <col min="3842" max="3842" width="9.28515625" style="1" customWidth="1"/>
    <col min="3843" max="3843" width="1.7109375" style="1" customWidth="1"/>
    <col min="3844" max="3847" width="12" style="1" customWidth="1"/>
    <col min="3848" max="3848" width="11.85546875" style="1" customWidth="1"/>
    <col min="3849" max="3849" width="10.7109375" style="1" customWidth="1"/>
    <col min="3850" max="3850" width="10.5703125" style="1" customWidth="1"/>
    <col min="3851" max="3851" width="1.140625" style="1" customWidth="1"/>
    <col min="3852" max="3852" width="11.28515625" style="1" customWidth="1"/>
    <col min="3853" max="3853" width="12.7109375" style="1" customWidth="1"/>
    <col min="3854" max="3854" width="11.5703125" style="1" customWidth="1"/>
    <col min="3855" max="3855" width="12.42578125" style="1" customWidth="1"/>
    <col min="3856" max="3856" width="1.5703125" style="1" customWidth="1"/>
    <col min="3857" max="3857" width="11.42578125" style="1" customWidth="1"/>
    <col min="3858" max="3858" width="12.140625" style="1" customWidth="1"/>
    <col min="3859" max="3859" width="1.7109375" style="1" customWidth="1"/>
    <col min="3860" max="3860" width="13.5703125" style="1" customWidth="1"/>
    <col min="3861" max="4097" width="8.85546875" style="1"/>
    <col min="4098" max="4098" width="9.28515625" style="1" customWidth="1"/>
    <col min="4099" max="4099" width="1.7109375" style="1" customWidth="1"/>
    <col min="4100" max="4103" width="12" style="1" customWidth="1"/>
    <col min="4104" max="4104" width="11.85546875" style="1" customWidth="1"/>
    <col min="4105" max="4105" width="10.7109375" style="1" customWidth="1"/>
    <col min="4106" max="4106" width="10.5703125" style="1" customWidth="1"/>
    <col min="4107" max="4107" width="1.140625" style="1" customWidth="1"/>
    <col min="4108" max="4108" width="11.28515625" style="1" customWidth="1"/>
    <col min="4109" max="4109" width="12.7109375" style="1" customWidth="1"/>
    <col min="4110" max="4110" width="11.5703125" style="1" customWidth="1"/>
    <col min="4111" max="4111" width="12.42578125" style="1" customWidth="1"/>
    <col min="4112" max="4112" width="1.5703125" style="1" customWidth="1"/>
    <col min="4113" max="4113" width="11.42578125" style="1" customWidth="1"/>
    <col min="4114" max="4114" width="12.140625" style="1" customWidth="1"/>
    <col min="4115" max="4115" width="1.7109375" style="1" customWidth="1"/>
    <col min="4116" max="4116" width="13.5703125" style="1" customWidth="1"/>
    <col min="4117" max="4353" width="8.85546875" style="1"/>
    <col min="4354" max="4354" width="9.28515625" style="1" customWidth="1"/>
    <col min="4355" max="4355" width="1.7109375" style="1" customWidth="1"/>
    <col min="4356" max="4359" width="12" style="1" customWidth="1"/>
    <col min="4360" max="4360" width="11.85546875" style="1" customWidth="1"/>
    <col min="4361" max="4361" width="10.7109375" style="1" customWidth="1"/>
    <col min="4362" max="4362" width="10.5703125" style="1" customWidth="1"/>
    <col min="4363" max="4363" width="1.140625" style="1" customWidth="1"/>
    <col min="4364" max="4364" width="11.28515625" style="1" customWidth="1"/>
    <col min="4365" max="4365" width="12.7109375" style="1" customWidth="1"/>
    <col min="4366" max="4366" width="11.5703125" style="1" customWidth="1"/>
    <col min="4367" max="4367" width="12.42578125" style="1" customWidth="1"/>
    <col min="4368" max="4368" width="1.5703125" style="1" customWidth="1"/>
    <col min="4369" max="4369" width="11.42578125" style="1" customWidth="1"/>
    <col min="4370" max="4370" width="12.140625" style="1" customWidth="1"/>
    <col min="4371" max="4371" width="1.7109375" style="1" customWidth="1"/>
    <col min="4372" max="4372" width="13.5703125" style="1" customWidth="1"/>
    <col min="4373" max="4609" width="8.85546875" style="1"/>
    <col min="4610" max="4610" width="9.28515625" style="1" customWidth="1"/>
    <col min="4611" max="4611" width="1.7109375" style="1" customWidth="1"/>
    <col min="4612" max="4615" width="12" style="1" customWidth="1"/>
    <col min="4616" max="4616" width="11.85546875" style="1" customWidth="1"/>
    <col min="4617" max="4617" width="10.7109375" style="1" customWidth="1"/>
    <col min="4618" max="4618" width="10.5703125" style="1" customWidth="1"/>
    <col min="4619" max="4619" width="1.140625" style="1" customWidth="1"/>
    <col min="4620" max="4620" width="11.28515625" style="1" customWidth="1"/>
    <col min="4621" max="4621" width="12.7109375" style="1" customWidth="1"/>
    <col min="4622" max="4622" width="11.5703125" style="1" customWidth="1"/>
    <col min="4623" max="4623" width="12.42578125" style="1" customWidth="1"/>
    <col min="4624" max="4624" width="1.5703125" style="1" customWidth="1"/>
    <col min="4625" max="4625" width="11.42578125" style="1" customWidth="1"/>
    <col min="4626" max="4626" width="12.140625" style="1" customWidth="1"/>
    <col min="4627" max="4627" width="1.7109375" style="1" customWidth="1"/>
    <col min="4628" max="4628" width="13.5703125" style="1" customWidth="1"/>
    <col min="4629" max="4865" width="8.85546875" style="1"/>
    <col min="4866" max="4866" width="9.28515625" style="1" customWidth="1"/>
    <col min="4867" max="4867" width="1.7109375" style="1" customWidth="1"/>
    <col min="4868" max="4871" width="12" style="1" customWidth="1"/>
    <col min="4872" max="4872" width="11.85546875" style="1" customWidth="1"/>
    <col min="4873" max="4873" width="10.7109375" style="1" customWidth="1"/>
    <col min="4874" max="4874" width="10.5703125" style="1" customWidth="1"/>
    <col min="4875" max="4875" width="1.140625" style="1" customWidth="1"/>
    <col min="4876" max="4876" width="11.28515625" style="1" customWidth="1"/>
    <col min="4877" max="4877" width="12.7109375" style="1" customWidth="1"/>
    <col min="4878" max="4878" width="11.5703125" style="1" customWidth="1"/>
    <col min="4879" max="4879" width="12.42578125" style="1" customWidth="1"/>
    <col min="4880" max="4880" width="1.5703125" style="1" customWidth="1"/>
    <col min="4881" max="4881" width="11.42578125" style="1" customWidth="1"/>
    <col min="4882" max="4882" width="12.140625" style="1" customWidth="1"/>
    <col min="4883" max="4883" width="1.7109375" style="1" customWidth="1"/>
    <col min="4884" max="4884" width="13.5703125" style="1" customWidth="1"/>
    <col min="4885" max="5121" width="8.85546875" style="1"/>
    <col min="5122" max="5122" width="9.28515625" style="1" customWidth="1"/>
    <col min="5123" max="5123" width="1.7109375" style="1" customWidth="1"/>
    <col min="5124" max="5127" width="12" style="1" customWidth="1"/>
    <col min="5128" max="5128" width="11.85546875" style="1" customWidth="1"/>
    <col min="5129" max="5129" width="10.7109375" style="1" customWidth="1"/>
    <col min="5130" max="5130" width="10.5703125" style="1" customWidth="1"/>
    <col min="5131" max="5131" width="1.140625" style="1" customWidth="1"/>
    <col min="5132" max="5132" width="11.28515625" style="1" customWidth="1"/>
    <col min="5133" max="5133" width="12.7109375" style="1" customWidth="1"/>
    <col min="5134" max="5134" width="11.5703125" style="1" customWidth="1"/>
    <col min="5135" max="5135" width="12.42578125" style="1" customWidth="1"/>
    <col min="5136" max="5136" width="1.5703125" style="1" customWidth="1"/>
    <col min="5137" max="5137" width="11.42578125" style="1" customWidth="1"/>
    <col min="5138" max="5138" width="12.140625" style="1" customWidth="1"/>
    <col min="5139" max="5139" width="1.7109375" style="1" customWidth="1"/>
    <col min="5140" max="5140" width="13.5703125" style="1" customWidth="1"/>
    <col min="5141" max="5377" width="8.85546875" style="1"/>
    <col min="5378" max="5378" width="9.28515625" style="1" customWidth="1"/>
    <col min="5379" max="5379" width="1.7109375" style="1" customWidth="1"/>
    <col min="5380" max="5383" width="12" style="1" customWidth="1"/>
    <col min="5384" max="5384" width="11.85546875" style="1" customWidth="1"/>
    <col min="5385" max="5385" width="10.7109375" style="1" customWidth="1"/>
    <col min="5386" max="5386" width="10.5703125" style="1" customWidth="1"/>
    <col min="5387" max="5387" width="1.140625" style="1" customWidth="1"/>
    <col min="5388" max="5388" width="11.28515625" style="1" customWidth="1"/>
    <col min="5389" max="5389" width="12.7109375" style="1" customWidth="1"/>
    <col min="5390" max="5390" width="11.5703125" style="1" customWidth="1"/>
    <col min="5391" max="5391" width="12.42578125" style="1" customWidth="1"/>
    <col min="5392" max="5392" width="1.5703125" style="1" customWidth="1"/>
    <col min="5393" max="5393" width="11.42578125" style="1" customWidth="1"/>
    <col min="5394" max="5394" width="12.140625" style="1" customWidth="1"/>
    <col min="5395" max="5395" width="1.7109375" style="1" customWidth="1"/>
    <col min="5396" max="5396" width="13.5703125" style="1" customWidth="1"/>
    <col min="5397" max="5633" width="8.85546875" style="1"/>
    <col min="5634" max="5634" width="9.28515625" style="1" customWidth="1"/>
    <col min="5635" max="5635" width="1.7109375" style="1" customWidth="1"/>
    <col min="5636" max="5639" width="12" style="1" customWidth="1"/>
    <col min="5640" max="5640" width="11.85546875" style="1" customWidth="1"/>
    <col min="5641" max="5641" width="10.7109375" style="1" customWidth="1"/>
    <col min="5642" max="5642" width="10.5703125" style="1" customWidth="1"/>
    <col min="5643" max="5643" width="1.140625" style="1" customWidth="1"/>
    <col min="5644" max="5644" width="11.28515625" style="1" customWidth="1"/>
    <col min="5645" max="5645" width="12.7109375" style="1" customWidth="1"/>
    <col min="5646" max="5646" width="11.5703125" style="1" customWidth="1"/>
    <col min="5647" max="5647" width="12.42578125" style="1" customWidth="1"/>
    <col min="5648" max="5648" width="1.5703125" style="1" customWidth="1"/>
    <col min="5649" max="5649" width="11.42578125" style="1" customWidth="1"/>
    <col min="5650" max="5650" width="12.140625" style="1" customWidth="1"/>
    <col min="5651" max="5651" width="1.7109375" style="1" customWidth="1"/>
    <col min="5652" max="5652" width="13.5703125" style="1" customWidth="1"/>
    <col min="5653" max="5889" width="8.85546875" style="1"/>
    <col min="5890" max="5890" width="9.28515625" style="1" customWidth="1"/>
    <col min="5891" max="5891" width="1.7109375" style="1" customWidth="1"/>
    <col min="5892" max="5895" width="12" style="1" customWidth="1"/>
    <col min="5896" max="5896" width="11.85546875" style="1" customWidth="1"/>
    <col min="5897" max="5897" width="10.7109375" style="1" customWidth="1"/>
    <col min="5898" max="5898" width="10.5703125" style="1" customWidth="1"/>
    <col min="5899" max="5899" width="1.140625" style="1" customWidth="1"/>
    <col min="5900" max="5900" width="11.28515625" style="1" customWidth="1"/>
    <col min="5901" max="5901" width="12.7109375" style="1" customWidth="1"/>
    <col min="5902" max="5902" width="11.5703125" style="1" customWidth="1"/>
    <col min="5903" max="5903" width="12.42578125" style="1" customWidth="1"/>
    <col min="5904" max="5904" width="1.5703125" style="1" customWidth="1"/>
    <col min="5905" max="5905" width="11.42578125" style="1" customWidth="1"/>
    <col min="5906" max="5906" width="12.140625" style="1" customWidth="1"/>
    <col min="5907" max="5907" width="1.7109375" style="1" customWidth="1"/>
    <col min="5908" max="5908" width="13.5703125" style="1" customWidth="1"/>
    <col min="5909" max="6145" width="8.85546875" style="1"/>
    <col min="6146" max="6146" width="9.28515625" style="1" customWidth="1"/>
    <col min="6147" max="6147" width="1.7109375" style="1" customWidth="1"/>
    <col min="6148" max="6151" width="12" style="1" customWidth="1"/>
    <col min="6152" max="6152" width="11.85546875" style="1" customWidth="1"/>
    <col min="6153" max="6153" width="10.7109375" style="1" customWidth="1"/>
    <col min="6154" max="6154" width="10.5703125" style="1" customWidth="1"/>
    <col min="6155" max="6155" width="1.140625" style="1" customWidth="1"/>
    <col min="6156" max="6156" width="11.28515625" style="1" customWidth="1"/>
    <col min="6157" max="6157" width="12.7109375" style="1" customWidth="1"/>
    <col min="6158" max="6158" width="11.5703125" style="1" customWidth="1"/>
    <col min="6159" max="6159" width="12.42578125" style="1" customWidth="1"/>
    <col min="6160" max="6160" width="1.5703125" style="1" customWidth="1"/>
    <col min="6161" max="6161" width="11.42578125" style="1" customWidth="1"/>
    <col min="6162" max="6162" width="12.140625" style="1" customWidth="1"/>
    <col min="6163" max="6163" width="1.7109375" style="1" customWidth="1"/>
    <col min="6164" max="6164" width="13.5703125" style="1" customWidth="1"/>
    <col min="6165" max="6401" width="8.85546875" style="1"/>
    <col min="6402" max="6402" width="9.28515625" style="1" customWidth="1"/>
    <col min="6403" max="6403" width="1.7109375" style="1" customWidth="1"/>
    <col min="6404" max="6407" width="12" style="1" customWidth="1"/>
    <col min="6408" max="6408" width="11.85546875" style="1" customWidth="1"/>
    <col min="6409" max="6409" width="10.7109375" style="1" customWidth="1"/>
    <col min="6410" max="6410" width="10.5703125" style="1" customWidth="1"/>
    <col min="6411" max="6411" width="1.140625" style="1" customWidth="1"/>
    <col min="6412" max="6412" width="11.28515625" style="1" customWidth="1"/>
    <col min="6413" max="6413" width="12.7109375" style="1" customWidth="1"/>
    <col min="6414" max="6414" width="11.5703125" style="1" customWidth="1"/>
    <col min="6415" max="6415" width="12.42578125" style="1" customWidth="1"/>
    <col min="6416" max="6416" width="1.5703125" style="1" customWidth="1"/>
    <col min="6417" max="6417" width="11.42578125" style="1" customWidth="1"/>
    <col min="6418" max="6418" width="12.140625" style="1" customWidth="1"/>
    <col min="6419" max="6419" width="1.7109375" style="1" customWidth="1"/>
    <col min="6420" max="6420" width="13.5703125" style="1" customWidth="1"/>
    <col min="6421" max="6657" width="8.85546875" style="1"/>
    <col min="6658" max="6658" width="9.28515625" style="1" customWidth="1"/>
    <col min="6659" max="6659" width="1.7109375" style="1" customWidth="1"/>
    <col min="6660" max="6663" width="12" style="1" customWidth="1"/>
    <col min="6664" max="6664" width="11.85546875" style="1" customWidth="1"/>
    <col min="6665" max="6665" width="10.7109375" style="1" customWidth="1"/>
    <col min="6666" max="6666" width="10.5703125" style="1" customWidth="1"/>
    <col min="6667" max="6667" width="1.140625" style="1" customWidth="1"/>
    <col min="6668" max="6668" width="11.28515625" style="1" customWidth="1"/>
    <col min="6669" max="6669" width="12.7109375" style="1" customWidth="1"/>
    <col min="6670" max="6670" width="11.5703125" style="1" customWidth="1"/>
    <col min="6671" max="6671" width="12.42578125" style="1" customWidth="1"/>
    <col min="6672" max="6672" width="1.5703125" style="1" customWidth="1"/>
    <col min="6673" max="6673" width="11.42578125" style="1" customWidth="1"/>
    <col min="6674" max="6674" width="12.140625" style="1" customWidth="1"/>
    <col min="6675" max="6675" width="1.7109375" style="1" customWidth="1"/>
    <col min="6676" max="6676" width="13.5703125" style="1" customWidth="1"/>
    <col min="6677" max="6913" width="8.85546875" style="1"/>
    <col min="6914" max="6914" width="9.28515625" style="1" customWidth="1"/>
    <col min="6915" max="6915" width="1.7109375" style="1" customWidth="1"/>
    <col min="6916" max="6919" width="12" style="1" customWidth="1"/>
    <col min="6920" max="6920" width="11.85546875" style="1" customWidth="1"/>
    <col min="6921" max="6921" width="10.7109375" style="1" customWidth="1"/>
    <col min="6922" max="6922" width="10.5703125" style="1" customWidth="1"/>
    <col min="6923" max="6923" width="1.140625" style="1" customWidth="1"/>
    <col min="6924" max="6924" width="11.28515625" style="1" customWidth="1"/>
    <col min="6925" max="6925" width="12.7109375" style="1" customWidth="1"/>
    <col min="6926" max="6926" width="11.5703125" style="1" customWidth="1"/>
    <col min="6927" max="6927" width="12.42578125" style="1" customWidth="1"/>
    <col min="6928" max="6928" width="1.5703125" style="1" customWidth="1"/>
    <col min="6929" max="6929" width="11.42578125" style="1" customWidth="1"/>
    <col min="6930" max="6930" width="12.140625" style="1" customWidth="1"/>
    <col min="6931" max="6931" width="1.7109375" style="1" customWidth="1"/>
    <col min="6932" max="6932" width="13.5703125" style="1" customWidth="1"/>
    <col min="6933" max="7169" width="8.85546875" style="1"/>
    <col min="7170" max="7170" width="9.28515625" style="1" customWidth="1"/>
    <col min="7171" max="7171" width="1.7109375" style="1" customWidth="1"/>
    <col min="7172" max="7175" width="12" style="1" customWidth="1"/>
    <col min="7176" max="7176" width="11.85546875" style="1" customWidth="1"/>
    <col min="7177" max="7177" width="10.7109375" style="1" customWidth="1"/>
    <col min="7178" max="7178" width="10.5703125" style="1" customWidth="1"/>
    <col min="7179" max="7179" width="1.140625" style="1" customWidth="1"/>
    <col min="7180" max="7180" width="11.28515625" style="1" customWidth="1"/>
    <col min="7181" max="7181" width="12.7109375" style="1" customWidth="1"/>
    <col min="7182" max="7182" width="11.5703125" style="1" customWidth="1"/>
    <col min="7183" max="7183" width="12.42578125" style="1" customWidth="1"/>
    <col min="7184" max="7184" width="1.5703125" style="1" customWidth="1"/>
    <col min="7185" max="7185" width="11.42578125" style="1" customWidth="1"/>
    <col min="7186" max="7186" width="12.140625" style="1" customWidth="1"/>
    <col min="7187" max="7187" width="1.7109375" style="1" customWidth="1"/>
    <col min="7188" max="7188" width="13.5703125" style="1" customWidth="1"/>
    <col min="7189" max="7425" width="8.85546875" style="1"/>
    <col min="7426" max="7426" width="9.28515625" style="1" customWidth="1"/>
    <col min="7427" max="7427" width="1.7109375" style="1" customWidth="1"/>
    <col min="7428" max="7431" width="12" style="1" customWidth="1"/>
    <col min="7432" max="7432" width="11.85546875" style="1" customWidth="1"/>
    <col min="7433" max="7433" width="10.7109375" style="1" customWidth="1"/>
    <col min="7434" max="7434" width="10.5703125" style="1" customWidth="1"/>
    <col min="7435" max="7435" width="1.140625" style="1" customWidth="1"/>
    <col min="7436" max="7436" width="11.28515625" style="1" customWidth="1"/>
    <col min="7437" max="7437" width="12.7109375" style="1" customWidth="1"/>
    <col min="7438" max="7438" width="11.5703125" style="1" customWidth="1"/>
    <col min="7439" max="7439" width="12.42578125" style="1" customWidth="1"/>
    <col min="7440" max="7440" width="1.5703125" style="1" customWidth="1"/>
    <col min="7441" max="7441" width="11.42578125" style="1" customWidth="1"/>
    <col min="7442" max="7442" width="12.140625" style="1" customWidth="1"/>
    <col min="7443" max="7443" width="1.7109375" style="1" customWidth="1"/>
    <col min="7444" max="7444" width="13.5703125" style="1" customWidth="1"/>
    <col min="7445" max="7681" width="8.85546875" style="1"/>
    <col min="7682" max="7682" width="9.28515625" style="1" customWidth="1"/>
    <col min="7683" max="7683" width="1.7109375" style="1" customWidth="1"/>
    <col min="7684" max="7687" width="12" style="1" customWidth="1"/>
    <col min="7688" max="7688" width="11.85546875" style="1" customWidth="1"/>
    <col min="7689" max="7689" width="10.7109375" style="1" customWidth="1"/>
    <col min="7690" max="7690" width="10.5703125" style="1" customWidth="1"/>
    <col min="7691" max="7691" width="1.140625" style="1" customWidth="1"/>
    <col min="7692" max="7692" width="11.28515625" style="1" customWidth="1"/>
    <col min="7693" max="7693" width="12.7109375" style="1" customWidth="1"/>
    <col min="7694" max="7694" width="11.5703125" style="1" customWidth="1"/>
    <col min="7695" max="7695" width="12.42578125" style="1" customWidth="1"/>
    <col min="7696" max="7696" width="1.5703125" style="1" customWidth="1"/>
    <col min="7697" max="7697" width="11.42578125" style="1" customWidth="1"/>
    <col min="7698" max="7698" width="12.140625" style="1" customWidth="1"/>
    <col min="7699" max="7699" width="1.7109375" style="1" customWidth="1"/>
    <col min="7700" max="7700" width="13.5703125" style="1" customWidth="1"/>
    <col min="7701" max="7937" width="8.85546875" style="1"/>
    <col min="7938" max="7938" width="9.28515625" style="1" customWidth="1"/>
    <col min="7939" max="7939" width="1.7109375" style="1" customWidth="1"/>
    <col min="7940" max="7943" width="12" style="1" customWidth="1"/>
    <col min="7944" max="7944" width="11.85546875" style="1" customWidth="1"/>
    <col min="7945" max="7945" width="10.7109375" style="1" customWidth="1"/>
    <col min="7946" max="7946" width="10.5703125" style="1" customWidth="1"/>
    <col min="7947" max="7947" width="1.140625" style="1" customWidth="1"/>
    <col min="7948" max="7948" width="11.28515625" style="1" customWidth="1"/>
    <col min="7949" max="7949" width="12.7109375" style="1" customWidth="1"/>
    <col min="7950" max="7950" width="11.5703125" style="1" customWidth="1"/>
    <col min="7951" max="7951" width="12.42578125" style="1" customWidth="1"/>
    <col min="7952" max="7952" width="1.5703125" style="1" customWidth="1"/>
    <col min="7953" max="7953" width="11.42578125" style="1" customWidth="1"/>
    <col min="7954" max="7954" width="12.140625" style="1" customWidth="1"/>
    <col min="7955" max="7955" width="1.7109375" style="1" customWidth="1"/>
    <col min="7956" max="7956" width="13.5703125" style="1" customWidth="1"/>
    <col min="7957" max="8193" width="8.85546875" style="1"/>
    <col min="8194" max="8194" width="9.28515625" style="1" customWidth="1"/>
    <col min="8195" max="8195" width="1.7109375" style="1" customWidth="1"/>
    <col min="8196" max="8199" width="12" style="1" customWidth="1"/>
    <col min="8200" max="8200" width="11.85546875" style="1" customWidth="1"/>
    <col min="8201" max="8201" width="10.7109375" style="1" customWidth="1"/>
    <col min="8202" max="8202" width="10.5703125" style="1" customWidth="1"/>
    <col min="8203" max="8203" width="1.140625" style="1" customWidth="1"/>
    <col min="8204" max="8204" width="11.28515625" style="1" customWidth="1"/>
    <col min="8205" max="8205" width="12.7109375" style="1" customWidth="1"/>
    <col min="8206" max="8206" width="11.5703125" style="1" customWidth="1"/>
    <col min="8207" max="8207" width="12.42578125" style="1" customWidth="1"/>
    <col min="8208" max="8208" width="1.5703125" style="1" customWidth="1"/>
    <col min="8209" max="8209" width="11.42578125" style="1" customWidth="1"/>
    <col min="8210" max="8210" width="12.140625" style="1" customWidth="1"/>
    <col min="8211" max="8211" width="1.7109375" style="1" customWidth="1"/>
    <col min="8212" max="8212" width="13.5703125" style="1" customWidth="1"/>
    <col min="8213" max="8449" width="8.85546875" style="1"/>
    <col min="8450" max="8450" width="9.28515625" style="1" customWidth="1"/>
    <col min="8451" max="8451" width="1.7109375" style="1" customWidth="1"/>
    <col min="8452" max="8455" width="12" style="1" customWidth="1"/>
    <col min="8456" max="8456" width="11.85546875" style="1" customWidth="1"/>
    <col min="8457" max="8457" width="10.7109375" style="1" customWidth="1"/>
    <col min="8458" max="8458" width="10.5703125" style="1" customWidth="1"/>
    <col min="8459" max="8459" width="1.140625" style="1" customWidth="1"/>
    <col min="8460" max="8460" width="11.28515625" style="1" customWidth="1"/>
    <col min="8461" max="8461" width="12.7109375" style="1" customWidth="1"/>
    <col min="8462" max="8462" width="11.5703125" style="1" customWidth="1"/>
    <col min="8463" max="8463" width="12.42578125" style="1" customWidth="1"/>
    <col min="8464" max="8464" width="1.5703125" style="1" customWidth="1"/>
    <col min="8465" max="8465" width="11.42578125" style="1" customWidth="1"/>
    <col min="8466" max="8466" width="12.140625" style="1" customWidth="1"/>
    <col min="8467" max="8467" width="1.7109375" style="1" customWidth="1"/>
    <col min="8468" max="8468" width="13.5703125" style="1" customWidth="1"/>
    <col min="8469" max="8705" width="8.85546875" style="1"/>
    <col min="8706" max="8706" width="9.28515625" style="1" customWidth="1"/>
    <col min="8707" max="8707" width="1.7109375" style="1" customWidth="1"/>
    <col min="8708" max="8711" width="12" style="1" customWidth="1"/>
    <col min="8712" max="8712" width="11.85546875" style="1" customWidth="1"/>
    <col min="8713" max="8713" width="10.7109375" style="1" customWidth="1"/>
    <col min="8714" max="8714" width="10.5703125" style="1" customWidth="1"/>
    <col min="8715" max="8715" width="1.140625" style="1" customWidth="1"/>
    <col min="8716" max="8716" width="11.28515625" style="1" customWidth="1"/>
    <col min="8717" max="8717" width="12.7109375" style="1" customWidth="1"/>
    <col min="8718" max="8718" width="11.5703125" style="1" customWidth="1"/>
    <col min="8719" max="8719" width="12.42578125" style="1" customWidth="1"/>
    <col min="8720" max="8720" width="1.5703125" style="1" customWidth="1"/>
    <col min="8721" max="8721" width="11.42578125" style="1" customWidth="1"/>
    <col min="8722" max="8722" width="12.140625" style="1" customWidth="1"/>
    <col min="8723" max="8723" width="1.7109375" style="1" customWidth="1"/>
    <col min="8724" max="8724" width="13.5703125" style="1" customWidth="1"/>
    <col min="8725" max="8961" width="8.85546875" style="1"/>
    <col min="8962" max="8962" width="9.28515625" style="1" customWidth="1"/>
    <col min="8963" max="8963" width="1.7109375" style="1" customWidth="1"/>
    <col min="8964" max="8967" width="12" style="1" customWidth="1"/>
    <col min="8968" max="8968" width="11.85546875" style="1" customWidth="1"/>
    <col min="8969" max="8969" width="10.7109375" style="1" customWidth="1"/>
    <col min="8970" max="8970" width="10.5703125" style="1" customWidth="1"/>
    <col min="8971" max="8971" width="1.140625" style="1" customWidth="1"/>
    <col min="8972" max="8972" width="11.28515625" style="1" customWidth="1"/>
    <col min="8973" max="8973" width="12.7109375" style="1" customWidth="1"/>
    <col min="8974" max="8974" width="11.5703125" style="1" customWidth="1"/>
    <col min="8975" max="8975" width="12.42578125" style="1" customWidth="1"/>
    <col min="8976" max="8976" width="1.5703125" style="1" customWidth="1"/>
    <col min="8977" max="8977" width="11.42578125" style="1" customWidth="1"/>
    <col min="8978" max="8978" width="12.140625" style="1" customWidth="1"/>
    <col min="8979" max="8979" width="1.7109375" style="1" customWidth="1"/>
    <col min="8980" max="8980" width="13.5703125" style="1" customWidth="1"/>
    <col min="8981" max="9217" width="8.85546875" style="1"/>
    <col min="9218" max="9218" width="9.28515625" style="1" customWidth="1"/>
    <col min="9219" max="9219" width="1.7109375" style="1" customWidth="1"/>
    <col min="9220" max="9223" width="12" style="1" customWidth="1"/>
    <col min="9224" max="9224" width="11.85546875" style="1" customWidth="1"/>
    <col min="9225" max="9225" width="10.7109375" style="1" customWidth="1"/>
    <col min="9226" max="9226" width="10.5703125" style="1" customWidth="1"/>
    <col min="9227" max="9227" width="1.140625" style="1" customWidth="1"/>
    <col min="9228" max="9228" width="11.28515625" style="1" customWidth="1"/>
    <col min="9229" max="9229" width="12.7109375" style="1" customWidth="1"/>
    <col min="9230" max="9230" width="11.5703125" style="1" customWidth="1"/>
    <col min="9231" max="9231" width="12.42578125" style="1" customWidth="1"/>
    <col min="9232" max="9232" width="1.5703125" style="1" customWidth="1"/>
    <col min="9233" max="9233" width="11.42578125" style="1" customWidth="1"/>
    <col min="9234" max="9234" width="12.140625" style="1" customWidth="1"/>
    <col min="9235" max="9235" width="1.7109375" style="1" customWidth="1"/>
    <col min="9236" max="9236" width="13.5703125" style="1" customWidth="1"/>
    <col min="9237" max="9473" width="8.85546875" style="1"/>
    <col min="9474" max="9474" width="9.28515625" style="1" customWidth="1"/>
    <col min="9475" max="9475" width="1.7109375" style="1" customWidth="1"/>
    <col min="9476" max="9479" width="12" style="1" customWidth="1"/>
    <col min="9480" max="9480" width="11.85546875" style="1" customWidth="1"/>
    <col min="9481" max="9481" width="10.7109375" style="1" customWidth="1"/>
    <col min="9482" max="9482" width="10.5703125" style="1" customWidth="1"/>
    <col min="9483" max="9483" width="1.140625" style="1" customWidth="1"/>
    <col min="9484" max="9484" width="11.28515625" style="1" customWidth="1"/>
    <col min="9485" max="9485" width="12.7109375" style="1" customWidth="1"/>
    <col min="9486" max="9486" width="11.5703125" style="1" customWidth="1"/>
    <col min="9487" max="9487" width="12.42578125" style="1" customWidth="1"/>
    <col min="9488" max="9488" width="1.5703125" style="1" customWidth="1"/>
    <col min="9489" max="9489" width="11.42578125" style="1" customWidth="1"/>
    <col min="9490" max="9490" width="12.140625" style="1" customWidth="1"/>
    <col min="9491" max="9491" width="1.7109375" style="1" customWidth="1"/>
    <col min="9492" max="9492" width="13.5703125" style="1" customWidth="1"/>
    <col min="9493" max="9729" width="8.85546875" style="1"/>
    <col min="9730" max="9730" width="9.28515625" style="1" customWidth="1"/>
    <col min="9731" max="9731" width="1.7109375" style="1" customWidth="1"/>
    <col min="9732" max="9735" width="12" style="1" customWidth="1"/>
    <col min="9736" max="9736" width="11.85546875" style="1" customWidth="1"/>
    <col min="9737" max="9737" width="10.7109375" style="1" customWidth="1"/>
    <col min="9738" max="9738" width="10.5703125" style="1" customWidth="1"/>
    <col min="9739" max="9739" width="1.140625" style="1" customWidth="1"/>
    <col min="9740" max="9740" width="11.28515625" style="1" customWidth="1"/>
    <col min="9741" max="9741" width="12.7109375" style="1" customWidth="1"/>
    <col min="9742" max="9742" width="11.5703125" style="1" customWidth="1"/>
    <col min="9743" max="9743" width="12.42578125" style="1" customWidth="1"/>
    <col min="9744" max="9744" width="1.5703125" style="1" customWidth="1"/>
    <col min="9745" max="9745" width="11.42578125" style="1" customWidth="1"/>
    <col min="9746" max="9746" width="12.140625" style="1" customWidth="1"/>
    <col min="9747" max="9747" width="1.7109375" style="1" customWidth="1"/>
    <col min="9748" max="9748" width="13.5703125" style="1" customWidth="1"/>
    <col min="9749" max="9985" width="8.85546875" style="1"/>
    <col min="9986" max="9986" width="9.28515625" style="1" customWidth="1"/>
    <col min="9987" max="9987" width="1.7109375" style="1" customWidth="1"/>
    <col min="9988" max="9991" width="12" style="1" customWidth="1"/>
    <col min="9992" max="9992" width="11.85546875" style="1" customWidth="1"/>
    <col min="9993" max="9993" width="10.7109375" style="1" customWidth="1"/>
    <col min="9994" max="9994" width="10.5703125" style="1" customWidth="1"/>
    <col min="9995" max="9995" width="1.140625" style="1" customWidth="1"/>
    <col min="9996" max="9996" width="11.28515625" style="1" customWidth="1"/>
    <col min="9997" max="9997" width="12.7109375" style="1" customWidth="1"/>
    <col min="9998" max="9998" width="11.5703125" style="1" customWidth="1"/>
    <col min="9999" max="9999" width="12.42578125" style="1" customWidth="1"/>
    <col min="10000" max="10000" width="1.5703125" style="1" customWidth="1"/>
    <col min="10001" max="10001" width="11.42578125" style="1" customWidth="1"/>
    <col min="10002" max="10002" width="12.140625" style="1" customWidth="1"/>
    <col min="10003" max="10003" width="1.7109375" style="1" customWidth="1"/>
    <col min="10004" max="10004" width="13.5703125" style="1" customWidth="1"/>
    <col min="10005" max="10241" width="8.85546875" style="1"/>
    <col min="10242" max="10242" width="9.28515625" style="1" customWidth="1"/>
    <col min="10243" max="10243" width="1.7109375" style="1" customWidth="1"/>
    <col min="10244" max="10247" width="12" style="1" customWidth="1"/>
    <col min="10248" max="10248" width="11.85546875" style="1" customWidth="1"/>
    <col min="10249" max="10249" width="10.7109375" style="1" customWidth="1"/>
    <col min="10250" max="10250" width="10.5703125" style="1" customWidth="1"/>
    <col min="10251" max="10251" width="1.140625" style="1" customWidth="1"/>
    <col min="10252" max="10252" width="11.28515625" style="1" customWidth="1"/>
    <col min="10253" max="10253" width="12.7109375" style="1" customWidth="1"/>
    <col min="10254" max="10254" width="11.5703125" style="1" customWidth="1"/>
    <col min="10255" max="10255" width="12.42578125" style="1" customWidth="1"/>
    <col min="10256" max="10256" width="1.5703125" style="1" customWidth="1"/>
    <col min="10257" max="10257" width="11.42578125" style="1" customWidth="1"/>
    <col min="10258" max="10258" width="12.140625" style="1" customWidth="1"/>
    <col min="10259" max="10259" width="1.7109375" style="1" customWidth="1"/>
    <col min="10260" max="10260" width="13.5703125" style="1" customWidth="1"/>
    <col min="10261" max="10497" width="8.85546875" style="1"/>
    <col min="10498" max="10498" width="9.28515625" style="1" customWidth="1"/>
    <col min="10499" max="10499" width="1.7109375" style="1" customWidth="1"/>
    <col min="10500" max="10503" width="12" style="1" customWidth="1"/>
    <col min="10504" max="10504" width="11.85546875" style="1" customWidth="1"/>
    <col min="10505" max="10505" width="10.7109375" style="1" customWidth="1"/>
    <col min="10506" max="10506" width="10.5703125" style="1" customWidth="1"/>
    <col min="10507" max="10507" width="1.140625" style="1" customWidth="1"/>
    <col min="10508" max="10508" width="11.28515625" style="1" customWidth="1"/>
    <col min="10509" max="10509" width="12.7109375" style="1" customWidth="1"/>
    <col min="10510" max="10510" width="11.5703125" style="1" customWidth="1"/>
    <col min="10511" max="10511" width="12.42578125" style="1" customWidth="1"/>
    <col min="10512" max="10512" width="1.5703125" style="1" customWidth="1"/>
    <col min="10513" max="10513" width="11.42578125" style="1" customWidth="1"/>
    <col min="10514" max="10514" width="12.140625" style="1" customWidth="1"/>
    <col min="10515" max="10515" width="1.7109375" style="1" customWidth="1"/>
    <col min="10516" max="10516" width="13.5703125" style="1" customWidth="1"/>
    <col min="10517" max="10753" width="8.85546875" style="1"/>
    <col min="10754" max="10754" width="9.28515625" style="1" customWidth="1"/>
    <col min="10755" max="10755" width="1.7109375" style="1" customWidth="1"/>
    <col min="10756" max="10759" width="12" style="1" customWidth="1"/>
    <col min="10760" max="10760" width="11.85546875" style="1" customWidth="1"/>
    <col min="10761" max="10761" width="10.7109375" style="1" customWidth="1"/>
    <col min="10762" max="10762" width="10.5703125" style="1" customWidth="1"/>
    <col min="10763" max="10763" width="1.140625" style="1" customWidth="1"/>
    <col min="10764" max="10764" width="11.28515625" style="1" customWidth="1"/>
    <col min="10765" max="10765" width="12.7109375" style="1" customWidth="1"/>
    <col min="10766" max="10766" width="11.5703125" style="1" customWidth="1"/>
    <col min="10767" max="10767" width="12.42578125" style="1" customWidth="1"/>
    <col min="10768" max="10768" width="1.5703125" style="1" customWidth="1"/>
    <col min="10769" max="10769" width="11.42578125" style="1" customWidth="1"/>
    <col min="10770" max="10770" width="12.140625" style="1" customWidth="1"/>
    <col min="10771" max="10771" width="1.7109375" style="1" customWidth="1"/>
    <col min="10772" max="10772" width="13.5703125" style="1" customWidth="1"/>
    <col min="10773" max="11009" width="8.85546875" style="1"/>
    <col min="11010" max="11010" width="9.28515625" style="1" customWidth="1"/>
    <col min="11011" max="11011" width="1.7109375" style="1" customWidth="1"/>
    <col min="11012" max="11015" width="12" style="1" customWidth="1"/>
    <col min="11016" max="11016" width="11.85546875" style="1" customWidth="1"/>
    <col min="11017" max="11017" width="10.7109375" style="1" customWidth="1"/>
    <col min="11018" max="11018" width="10.5703125" style="1" customWidth="1"/>
    <col min="11019" max="11019" width="1.140625" style="1" customWidth="1"/>
    <col min="11020" max="11020" width="11.28515625" style="1" customWidth="1"/>
    <col min="11021" max="11021" width="12.7109375" style="1" customWidth="1"/>
    <col min="11022" max="11022" width="11.5703125" style="1" customWidth="1"/>
    <col min="11023" max="11023" width="12.42578125" style="1" customWidth="1"/>
    <col min="11024" max="11024" width="1.5703125" style="1" customWidth="1"/>
    <col min="11025" max="11025" width="11.42578125" style="1" customWidth="1"/>
    <col min="11026" max="11026" width="12.140625" style="1" customWidth="1"/>
    <col min="11027" max="11027" width="1.7109375" style="1" customWidth="1"/>
    <col min="11028" max="11028" width="13.5703125" style="1" customWidth="1"/>
    <col min="11029" max="11265" width="8.85546875" style="1"/>
    <col min="11266" max="11266" width="9.28515625" style="1" customWidth="1"/>
    <col min="11267" max="11267" width="1.7109375" style="1" customWidth="1"/>
    <col min="11268" max="11271" width="12" style="1" customWidth="1"/>
    <col min="11272" max="11272" width="11.85546875" style="1" customWidth="1"/>
    <col min="11273" max="11273" width="10.7109375" style="1" customWidth="1"/>
    <col min="11274" max="11274" width="10.5703125" style="1" customWidth="1"/>
    <col min="11275" max="11275" width="1.140625" style="1" customWidth="1"/>
    <col min="11276" max="11276" width="11.28515625" style="1" customWidth="1"/>
    <col min="11277" max="11277" width="12.7109375" style="1" customWidth="1"/>
    <col min="11278" max="11278" width="11.5703125" style="1" customWidth="1"/>
    <col min="11279" max="11279" width="12.42578125" style="1" customWidth="1"/>
    <col min="11280" max="11280" width="1.5703125" style="1" customWidth="1"/>
    <col min="11281" max="11281" width="11.42578125" style="1" customWidth="1"/>
    <col min="11282" max="11282" width="12.140625" style="1" customWidth="1"/>
    <col min="11283" max="11283" width="1.7109375" style="1" customWidth="1"/>
    <col min="11284" max="11284" width="13.5703125" style="1" customWidth="1"/>
    <col min="11285" max="11521" width="8.85546875" style="1"/>
    <col min="11522" max="11522" width="9.28515625" style="1" customWidth="1"/>
    <col min="11523" max="11523" width="1.7109375" style="1" customWidth="1"/>
    <col min="11524" max="11527" width="12" style="1" customWidth="1"/>
    <col min="11528" max="11528" width="11.85546875" style="1" customWidth="1"/>
    <col min="11529" max="11529" width="10.7109375" style="1" customWidth="1"/>
    <col min="11530" max="11530" width="10.5703125" style="1" customWidth="1"/>
    <col min="11531" max="11531" width="1.140625" style="1" customWidth="1"/>
    <col min="11532" max="11532" width="11.28515625" style="1" customWidth="1"/>
    <col min="11533" max="11533" width="12.7109375" style="1" customWidth="1"/>
    <col min="11534" max="11534" width="11.5703125" style="1" customWidth="1"/>
    <col min="11535" max="11535" width="12.42578125" style="1" customWidth="1"/>
    <col min="11536" max="11536" width="1.5703125" style="1" customWidth="1"/>
    <col min="11537" max="11537" width="11.42578125" style="1" customWidth="1"/>
    <col min="11538" max="11538" width="12.140625" style="1" customWidth="1"/>
    <col min="11539" max="11539" width="1.7109375" style="1" customWidth="1"/>
    <col min="11540" max="11540" width="13.5703125" style="1" customWidth="1"/>
    <col min="11541" max="11777" width="8.85546875" style="1"/>
    <col min="11778" max="11778" width="9.28515625" style="1" customWidth="1"/>
    <col min="11779" max="11779" width="1.7109375" style="1" customWidth="1"/>
    <col min="11780" max="11783" width="12" style="1" customWidth="1"/>
    <col min="11784" max="11784" width="11.85546875" style="1" customWidth="1"/>
    <col min="11785" max="11785" width="10.7109375" style="1" customWidth="1"/>
    <col min="11786" max="11786" width="10.5703125" style="1" customWidth="1"/>
    <col min="11787" max="11787" width="1.140625" style="1" customWidth="1"/>
    <col min="11788" max="11788" width="11.28515625" style="1" customWidth="1"/>
    <col min="11789" max="11789" width="12.7109375" style="1" customWidth="1"/>
    <col min="11790" max="11790" width="11.5703125" style="1" customWidth="1"/>
    <col min="11791" max="11791" width="12.42578125" style="1" customWidth="1"/>
    <col min="11792" max="11792" width="1.5703125" style="1" customWidth="1"/>
    <col min="11793" max="11793" width="11.42578125" style="1" customWidth="1"/>
    <col min="11794" max="11794" width="12.140625" style="1" customWidth="1"/>
    <col min="11795" max="11795" width="1.7109375" style="1" customWidth="1"/>
    <col min="11796" max="11796" width="13.5703125" style="1" customWidth="1"/>
    <col min="11797" max="12033" width="8.85546875" style="1"/>
    <col min="12034" max="12034" width="9.28515625" style="1" customWidth="1"/>
    <col min="12035" max="12035" width="1.7109375" style="1" customWidth="1"/>
    <col min="12036" max="12039" width="12" style="1" customWidth="1"/>
    <col min="12040" max="12040" width="11.85546875" style="1" customWidth="1"/>
    <col min="12041" max="12041" width="10.7109375" style="1" customWidth="1"/>
    <col min="12042" max="12042" width="10.5703125" style="1" customWidth="1"/>
    <col min="12043" max="12043" width="1.140625" style="1" customWidth="1"/>
    <col min="12044" max="12044" width="11.28515625" style="1" customWidth="1"/>
    <col min="12045" max="12045" width="12.7109375" style="1" customWidth="1"/>
    <col min="12046" max="12046" width="11.5703125" style="1" customWidth="1"/>
    <col min="12047" max="12047" width="12.42578125" style="1" customWidth="1"/>
    <col min="12048" max="12048" width="1.5703125" style="1" customWidth="1"/>
    <col min="12049" max="12049" width="11.42578125" style="1" customWidth="1"/>
    <col min="12050" max="12050" width="12.140625" style="1" customWidth="1"/>
    <col min="12051" max="12051" width="1.7109375" style="1" customWidth="1"/>
    <col min="12052" max="12052" width="13.5703125" style="1" customWidth="1"/>
    <col min="12053" max="12289" width="8.85546875" style="1"/>
    <col min="12290" max="12290" width="9.28515625" style="1" customWidth="1"/>
    <col min="12291" max="12291" width="1.7109375" style="1" customWidth="1"/>
    <col min="12292" max="12295" width="12" style="1" customWidth="1"/>
    <col min="12296" max="12296" width="11.85546875" style="1" customWidth="1"/>
    <col min="12297" max="12297" width="10.7109375" style="1" customWidth="1"/>
    <col min="12298" max="12298" width="10.5703125" style="1" customWidth="1"/>
    <col min="12299" max="12299" width="1.140625" style="1" customWidth="1"/>
    <col min="12300" max="12300" width="11.28515625" style="1" customWidth="1"/>
    <col min="12301" max="12301" width="12.7109375" style="1" customWidth="1"/>
    <col min="12302" max="12302" width="11.5703125" style="1" customWidth="1"/>
    <col min="12303" max="12303" width="12.42578125" style="1" customWidth="1"/>
    <col min="12304" max="12304" width="1.5703125" style="1" customWidth="1"/>
    <col min="12305" max="12305" width="11.42578125" style="1" customWidth="1"/>
    <col min="12306" max="12306" width="12.140625" style="1" customWidth="1"/>
    <col min="12307" max="12307" width="1.7109375" style="1" customWidth="1"/>
    <col min="12308" max="12308" width="13.5703125" style="1" customWidth="1"/>
    <col min="12309" max="12545" width="8.85546875" style="1"/>
    <col min="12546" max="12546" width="9.28515625" style="1" customWidth="1"/>
    <col min="12547" max="12547" width="1.7109375" style="1" customWidth="1"/>
    <col min="12548" max="12551" width="12" style="1" customWidth="1"/>
    <col min="12552" max="12552" width="11.85546875" style="1" customWidth="1"/>
    <col min="12553" max="12553" width="10.7109375" style="1" customWidth="1"/>
    <col min="12554" max="12554" width="10.5703125" style="1" customWidth="1"/>
    <col min="12555" max="12555" width="1.140625" style="1" customWidth="1"/>
    <col min="12556" max="12556" width="11.28515625" style="1" customWidth="1"/>
    <col min="12557" max="12557" width="12.7109375" style="1" customWidth="1"/>
    <col min="12558" max="12558" width="11.5703125" style="1" customWidth="1"/>
    <col min="12559" max="12559" width="12.42578125" style="1" customWidth="1"/>
    <col min="12560" max="12560" width="1.5703125" style="1" customWidth="1"/>
    <col min="12561" max="12561" width="11.42578125" style="1" customWidth="1"/>
    <col min="12562" max="12562" width="12.140625" style="1" customWidth="1"/>
    <col min="12563" max="12563" width="1.7109375" style="1" customWidth="1"/>
    <col min="12564" max="12564" width="13.5703125" style="1" customWidth="1"/>
    <col min="12565" max="12801" width="8.85546875" style="1"/>
    <col min="12802" max="12802" width="9.28515625" style="1" customWidth="1"/>
    <col min="12803" max="12803" width="1.7109375" style="1" customWidth="1"/>
    <col min="12804" max="12807" width="12" style="1" customWidth="1"/>
    <col min="12808" max="12808" width="11.85546875" style="1" customWidth="1"/>
    <col min="12809" max="12809" width="10.7109375" style="1" customWidth="1"/>
    <col min="12810" max="12810" width="10.5703125" style="1" customWidth="1"/>
    <col min="12811" max="12811" width="1.140625" style="1" customWidth="1"/>
    <col min="12812" max="12812" width="11.28515625" style="1" customWidth="1"/>
    <col min="12813" max="12813" width="12.7109375" style="1" customWidth="1"/>
    <col min="12814" max="12814" width="11.5703125" style="1" customWidth="1"/>
    <col min="12815" max="12815" width="12.42578125" style="1" customWidth="1"/>
    <col min="12816" max="12816" width="1.5703125" style="1" customWidth="1"/>
    <col min="12817" max="12817" width="11.42578125" style="1" customWidth="1"/>
    <col min="12818" max="12818" width="12.140625" style="1" customWidth="1"/>
    <col min="12819" max="12819" width="1.7109375" style="1" customWidth="1"/>
    <col min="12820" max="12820" width="13.5703125" style="1" customWidth="1"/>
    <col min="12821" max="13057" width="8.85546875" style="1"/>
    <col min="13058" max="13058" width="9.28515625" style="1" customWidth="1"/>
    <col min="13059" max="13059" width="1.7109375" style="1" customWidth="1"/>
    <col min="13060" max="13063" width="12" style="1" customWidth="1"/>
    <col min="13064" max="13064" width="11.85546875" style="1" customWidth="1"/>
    <col min="13065" max="13065" width="10.7109375" style="1" customWidth="1"/>
    <col min="13066" max="13066" width="10.5703125" style="1" customWidth="1"/>
    <col min="13067" max="13067" width="1.140625" style="1" customWidth="1"/>
    <col min="13068" max="13068" width="11.28515625" style="1" customWidth="1"/>
    <col min="13069" max="13069" width="12.7109375" style="1" customWidth="1"/>
    <col min="13070" max="13070" width="11.5703125" style="1" customWidth="1"/>
    <col min="13071" max="13071" width="12.42578125" style="1" customWidth="1"/>
    <col min="13072" max="13072" width="1.5703125" style="1" customWidth="1"/>
    <col min="13073" max="13073" width="11.42578125" style="1" customWidth="1"/>
    <col min="13074" max="13074" width="12.140625" style="1" customWidth="1"/>
    <col min="13075" max="13075" width="1.7109375" style="1" customWidth="1"/>
    <col min="13076" max="13076" width="13.5703125" style="1" customWidth="1"/>
    <col min="13077" max="13313" width="8.85546875" style="1"/>
    <col min="13314" max="13314" width="9.28515625" style="1" customWidth="1"/>
    <col min="13315" max="13315" width="1.7109375" style="1" customWidth="1"/>
    <col min="13316" max="13319" width="12" style="1" customWidth="1"/>
    <col min="13320" max="13320" width="11.85546875" style="1" customWidth="1"/>
    <col min="13321" max="13321" width="10.7109375" style="1" customWidth="1"/>
    <col min="13322" max="13322" width="10.5703125" style="1" customWidth="1"/>
    <col min="13323" max="13323" width="1.140625" style="1" customWidth="1"/>
    <col min="13324" max="13324" width="11.28515625" style="1" customWidth="1"/>
    <col min="13325" max="13325" width="12.7109375" style="1" customWidth="1"/>
    <col min="13326" max="13326" width="11.5703125" style="1" customWidth="1"/>
    <col min="13327" max="13327" width="12.42578125" style="1" customWidth="1"/>
    <col min="13328" max="13328" width="1.5703125" style="1" customWidth="1"/>
    <col min="13329" max="13329" width="11.42578125" style="1" customWidth="1"/>
    <col min="13330" max="13330" width="12.140625" style="1" customWidth="1"/>
    <col min="13331" max="13331" width="1.7109375" style="1" customWidth="1"/>
    <col min="13332" max="13332" width="13.5703125" style="1" customWidth="1"/>
    <col min="13333" max="13569" width="8.85546875" style="1"/>
    <col min="13570" max="13570" width="9.28515625" style="1" customWidth="1"/>
    <col min="13571" max="13571" width="1.7109375" style="1" customWidth="1"/>
    <col min="13572" max="13575" width="12" style="1" customWidth="1"/>
    <col min="13576" max="13576" width="11.85546875" style="1" customWidth="1"/>
    <col min="13577" max="13577" width="10.7109375" style="1" customWidth="1"/>
    <col min="13578" max="13578" width="10.5703125" style="1" customWidth="1"/>
    <col min="13579" max="13579" width="1.140625" style="1" customWidth="1"/>
    <col min="13580" max="13580" width="11.28515625" style="1" customWidth="1"/>
    <col min="13581" max="13581" width="12.7109375" style="1" customWidth="1"/>
    <col min="13582" max="13582" width="11.5703125" style="1" customWidth="1"/>
    <col min="13583" max="13583" width="12.42578125" style="1" customWidth="1"/>
    <col min="13584" max="13584" width="1.5703125" style="1" customWidth="1"/>
    <col min="13585" max="13585" width="11.42578125" style="1" customWidth="1"/>
    <col min="13586" max="13586" width="12.140625" style="1" customWidth="1"/>
    <col min="13587" max="13587" width="1.7109375" style="1" customWidth="1"/>
    <col min="13588" max="13588" width="13.5703125" style="1" customWidth="1"/>
    <col min="13589" max="13825" width="8.85546875" style="1"/>
    <col min="13826" max="13826" width="9.28515625" style="1" customWidth="1"/>
    <col min="13827" max="13827" width="1.7109375" style="1" customWidth="1"/>
    <col min="13828" max="13831" width="12" style="1" customWidth="1"/>
    <col min="13832" max="13832" width="11.85546875" style="1" customWidth="1"/>
    <col min="13833" max="13833" width="10.7109375" style="1" customWidth="1"/>
    <col min="13834" max="13834" width="10.5703125" style="1" customWidth="1"/>
    <col min="13835" max="13835" width="1.140625" style="1" customWidth="1"/>
    <col min="13836" max="13836" width="11.28515625" style="1" customWidth="1"/>
    <col min="13837" max="13837" width="12.7109375" style="1" customWidth="1"/>
    <col min="13838" max="13838" width="11.5703125" style="1" customWidth="1"/>
    <col min="13839" max="13839" width="12.42578125" style="1" customWidth="1"/>
    <col min="13840" max="13840" width="1.5703125" style="1" customWidth="1"/>
    <col min="13841" max="13841" width="11.42578125" style="1" customWidth="1"/>
    <col min="13842" max="13842" width="12.140625" style="1" customWidth="1"/>
    <col min="13843" max="13843" width="1.7109375" style="1" customWidth="1"/>
    <col min="13844" max="13844" width="13.5703125" style="1" customWidth="1"/>
    <col min="13845" max="14081" width="8.85546875" style="1"/>
    <col min="14082" max="14082" width="9.28515625" style="1" customWidth="1"/>
    <col min="14083" max="14083" width="1.7109375" style="1" customWidth="1"/>
    <col min="14084" max="14087" width="12" style="1" customWidth="1"/>
    <col min="14088" max="14088" width="11.85546875" style="1" customWidth="1"/>
    <col min="14089" max="14089" width="10.7109375" style="1" customWidth="1"/>
    <col min="14090" max="14090" width="10.5703125" style="1" customWidth="1"/>
    <col min="14091" max="14091" width="1.140625" style="1" customWidth="1"/>
    <col min="14092" max="14092" width="11.28515625" style="1" customWidth="1"/>
    <col min="14093" max="14093" width="12.7109375" style="1" customWidth="1"/>
    <col min="14094" max="14094" width="11.5703125" style="1" customWidth="1"/>
    <col min="14095" max="14095" width="12.42578125" style="1" customWidth="1"/>
    <col min="14096" max="14096" width="1.5703125" style="1" customWidth="1"/>
    <col min="14097" max="14097" width="11.42578125" style="1" customWidth="1"/>
    <col min="14098" max="14098" width="12.140625" style="1" customWidth="1"/>
    <col min="14099" max="14099" width="1.7109375" style="1" customWidth="1"/>
    <col min="14100" max="14100" width="13.5703125" style="1" customWidth="1"/>
    <col min="14101" max="14337" width="8.85546875" style="1"/>
    <col min="14338" max="14338" width="9.28515625" style="1" customWidth="1"/>
    <col min="14339" max="14339" width="1.7109375" style="1" customWidth="1"/>
    <col min="14340" max="14343" width="12" style="1" customWidth="1"/>
    <col min="14344" max="14344" width="11.85546875" style="1" customWidth="1"/>
    <col min="14345" max="14345" width="10.7109375" style="1" customWidth="1"/>
    <col min="14346" max="14346" width="10.5703125" style="1" customWidth="1"/>
    <col min="14347" max="14347" width="1.140625" style="1" customWidth="1"/>
    <col min="14348" max="14348" width="11.28515625" style="1" customWidth="1"/>
    <col min="14349" max="14349" width="12.7109375" style="1" customWidth="1"/>
    <col min="14350" max="14350" width="11.5703125" style="1" customWidth="1"/>
    <col min="14351" max="14351" width="12.42578125" style="1" customWidth="1"/>
    <col min="14352" max="14352" width="1.5703125" style="1" customWidth="1"/>
    <col min="14353" max="14353" width="11.42578125" style="1" customWidth="1"/>
    <col min="14354" max="14354" width="12.140625" style="1" customWidth="1"/>
    <col min="14355" max="14355" width="1.7109375" style="1" customWidth="1"/>
    <col min="14356" max="14356" width="13.5703125" style="1" customWidth="1"/>
    <col min="14357" max="14593" width="8.85546875" style="1"/>
    <col min="14594" max="14594" width="9.28515625" style="1" customWidth="1"/>
    <col min="14595" max="14595" width="1.7109375" style="1" customWidth="1"/>
    <col min="14596" max="14599" width="12" style="1" customWidth="1"/>
    <col min="14600" max="14600" width="11.85546875" style="1" customWidth="1"/>
    <col min="14601" max="14601" width="10.7109375" style="1" customWidth="1"/>
    <col min="14602" max="14602" width="10.5703125" style="1" customWidth="1"/>
    <col min="14603" max="14603" width="1.140625" style="1" customWidth="1"/>
    <col min="14604" max="14604" width="11.28515625" style="1" customWidth="1"/>
    <col min="14605" max="14605" width="12.7109375" style="1" customWidth="1"/>
    <col min="14606" max="14606" width="11.5703125" style="1" customWidth="1"/>
    <col min="14607" max="14607" width="12.42578125" style="1" customWidth="1"/>
    <col min="14608" max="14608" width="1.5703125" style="1" customWidth="1"/>
    <col min="14609" max="14609" width="11.42578125" style="1" customWidth="1"/>
    <col min="14610" max="14610" width="12.140625" style="1" customWidth="1"/>
    <col min="14611" max="14611" width="1.7109375" style="1" customWidth="1"/>
    <col min="14612" max="14612" width="13.5703125" style="1" customWidth="1"/>
    <col min="14613" max="14849" width="8.85546875" style="1"/>
    <col min="14850" max="14850" width="9.28515625" style="1" customWidth="1"/>
    <col min="14851" max="14851" width="1.7109375" style="1" customWidth="1"/>
    <col min="14852" max="14855" width="12" style="1" customWidth="1"/>
    <col min="14856" max="14856" width="11.85546875" style="1" customWidth="1"/>
    <col min="14857" max="14857" width="10.7109375" style="1" customWidth="1"/>
    <col min="14858" max="14858" width="10.5703125" style="1" customWidth="1"/>
    <col min="14859" max="14859" width="1.140625" style="1" customWidth="1"/>
    <col min="14860" max="14860" width="11.28515625" style="1" customWidth="1"/>
    <col min="14861" max="14861" width="12.7109375" style="1" customWidth="1"/>
    <col min="14862" max="14862" width="11.5703125" style="1" customWidth="1"/>
    <col min="14863" max="14863" width="12.42578125" style="1" customWidth="1"/>
    <col min="14864" max="14864" width="1.5703125" style="1" customWidth="1"/>
    <col min="14865" max="14865" width="11.42578125" style="1" customWidth="1"/>
    <col min="14866" max="14866" width="12.140625" style="1" customWidth="1"/>
    <col min="14867" max="14867" width="1.7109375" style="1" customWidth="1"/>
    <col min="14868" max="14868" width="13.5703125" style="1" customWidth="1"/>
    <col min="14869" max="15105" width="8.85546875" style="1"/>
    <col min="15106" max="15106" width="9.28515625" style="1" customWidth="1"/>
    <col min="15107" max="15107" width="1.7109375" style="1" customWidth="1"/>
    <col min="15108" max="15111" width="12" style="1" customWidth="1"/>
    <col min="15112" max="15112" width="11.85546875" style="1" customWidth="1"/>
    <col min="15113" max="15113" width="10.7109375" style="1" customWidth="1"/>
    <col min="15114" max="15114" width="10.5703125" style="1" customWidth="1"/>
    <col min="15115" max="15115" width="1.140625" style="1" customWidth="1"/>
    <col min="15116" max="15116" width="11.28515625" style="1" customWidth="1"/>
    <col min="15117" max="15117" width="12.7109375" style="1" customWidth="1"/>
    <col min="15118" max="15118" width="11.5703125" style="1" customWidth="1"/>
    <col min="15119" max="15119" width="12.42578125" style="1" customWidth="1"/>
    <col min="15120" max="15120" width="1.5703125" style="1" customWidth="1"/>
    <col min="15121" max="15121" width="11.42578125" style="1" customWidth="1"/>
    <col min="15122" max="15122" width="12.140625" style="1" customWidth="1"/>
    <col min="15123" max="15123" width="1.7109375" style="1" customWidth="1"/>
    <col min="15124" max="15124" width="13.5703125" style="1" customWidth="1"/>
    <col min="15125" max="15361" width="8.85546875" style="1"/>
    <col min="15362" max="15362" width="9.28515625" style="1" customWidth="1"/>
    <col min="15363" max="15363" width="1.7109375" style="1" customWidth="1"/>
    <col min="15364" max="15367" width="12" style="1" customWidth="1"/>
    <col min="15368" max="15368" width="11.85546875" style="1" customWidth="1"/>
    <col min="15369" max="15369" width="10.7109375" style="1" customWidth="1"/>
    <col min="15370" max="15370" width="10.5703125" style="1" customWidth="1"/>
    <col min="15371" max="15371" width="1.140625" style="1" customWidth="1"/>
    <col min="15372" max="15372" width="11.28515625" style="1" customWidth="1"/>
    <col min="15373" max="15373" width="12.7109375" style="1" customWidth="1"/>
    <col min="15374" max="15374" width="11.5703125" style="1" customWidth="1"/>
    <col min="15375" max="15375" width="12.42578125" style="1" customWidth="1"/>
    <col min="15376" max="15376" width="1.5703125" style="1" customWidth="1"/>
    <col min="15377" max="15377" width="11.42578125" style="1" customWidth="1"/>
    <col min="15378" max="15378" width="12.140625" style="1" customWidth="1"/>
    <col min="15379" max="15379" width="1.7109375" style="1" customWidth="1"/>
    <col min="15380" max="15380" width="13.5703125" style="1" customWidth="1"/>
    <col min="15381" max="15617" width="8.85546875" style="1"/>
    <col min="15618" max="15618" width="9.28515625" style="1" customWidth="1"/>
    <col min="15619" max="15619" width="1.7109375" style="1" customWidth="1"/>
    <col min="15620" max="15623" width="12" style="1" customWidth="1"/>
    <col min="15624" max="15624" width="11.85546875" style="1" customWidth="1"/>
    <col min="15625" max="15625" width="10.7109375" style="1" customWidth="1"/>
    <col min="15626" max="15626" width="10.5703125" style="1" customWidth="1"/>
    <col min="15627" max="15627" width="1.140625" style="1" customWidth="1"/>
    <col min="15628" max="15628" width="11.28515625" style="1" customWidth="1"/>
    <col min="15629" max="15629" width="12.7109375" style="1" customWidth="1"/>
    <col min="15630" max="15630" width="11.5703125" style="1" customWidth="1"/>
    <col min="15631" max="15631" width="12.42578125" style="1" customWidth="1"/>
    <col min="15632" max="15632" width="1.5703125" style="1" customWidth="1"/>
    <col min="15633" max="15633" width="11.42578125" style="1" customWidth="1"/>
    <col min="15634" max="15634" width="12.140625" style="1" customWidth="1"/>
    <col min="15635" max="15635" width="1.7109375" style="1" customWidth="1"/>
    <col min="15636" max="15636" width="13.5703125" style="1" customWidth="1"/>
    <col min="15637" max="15873" width="8.85546875" style="1"/>
    <col min="15874" max="15874" width="9.28515625" style="1" customWidth="1"/>
    <col min="15875" max="15875" width="1.7109375" style="1" customWidth="1"/>
    <col min="15876" max="15879" width="12" style="1" customWidth="1"/>
    <col min="15880" max="15880" width="11.85546875" style="1" customWidth="1"/>
    <col min="15881" max="15881" width="10.7109375" style="1" customWidth="1"/>
    <col min="15882" max="15882" width="10.5703125" style="1" customWidth="1"/>
    <col min="15883" max="15883" width="1.140625" style="1" customWidth="1"/>
    <col min="15884" max="15884" width="11.28515625" style="1" customWidth="1"/>
    <col min="15885" max="15885" width="12.7109375" style="1" customWidth="1"/>
    <col min="15886" max="15886" width="11.5703125" style="1" customWidth="1"/>
    <col min="15887" max="15887" width="12.42578125" style="1" customWidth="1"/>
    <col min="15888" max="15888" width="1.5703125" style="1" customWidth="1"/>
    <col min="15889" max="15889" width="11.42578125" style="1" customWidth="1"/>
    <col min="15890" max="15890" width="12.140625" style="1" customWidth="1"/>
    <col min="15891" max="15891" width="1.7109375" style="1" customWidth="1"/>
    <col min="15892" max="15892" width="13.5703125" style="1" customWidth="1"/>
    <col min="15893" max="16129" width="8.85546875" style="1"/>
    <col min="16130" max="16130" width="9.28515625" style="1" customWidth="1"/>
    <col min="16131" max="16131" width="1.7109375" style="1" customWidth="1"/>
    <col min="16132" max="16135" width="12" style="1" customWidth="1"/>
    <col min="16136" max="16136" width="11.85546875" style="1" customWidth="1"/>
    <col min="16137" max="16137" width="10.7109375" style="1" customWidth="1"/>
    <col min="16138" max="16138" width="10.5703125" style="1" customWidth="1"/>
    <col min="16139" max="16139" width="1.140625" style="1" customWidth="1"/>
    <col min="16140" max="16140" width="11.28515625" style="1" customWidth="1"/>
    <col min="16141" max="16141" width="12.7109375" style="1" customWidth="1"/>
    <col min="16142" max="16142" width="11.5703125" style="1" customWidth="1"/>
    <col min="16143" max="16143" width="12.42578125" style="1" customWidth="1"/>
    <col min="16144" max="16144" width="1.5703125" style="1" customWidth="1"/>
    <col min="16145" max="16145" width="11.42578125" style="1" customWidth="1"/>
    <col min="16146" max="16146" width="12.140625" style="1" customWidth="1"/>
    <col min="16147" max="16147" width="1.7109375" style="1" customWidth="1"/>
    <col min="16148" max="16148" width="13.5703125" style="1" customWidth="1"/>
    <col min="16149" max="16384" width="8.85546875" style="1"/>
  </cols>
  <sheetData>
    <row r="1" spans="1:20" ht="18" x14ac:dyDescent="0.25">
      <c r="A1" s="86" t="s">
        <v>0</v>
      </c>
      <c r="B1" s="86"/>
      <c r="C1" s="86"/>
      <c r="D1" s="86"/>
      <c r="E1" s="86"/>
      <c r="F1" s="86"/>
      <c r="G1" s="86"/>
      <c r="H1" s="86"/>
      <c r="I1" s="86"/>
      <c r="J1" s="86"/>
      <c r="K1" s="86"/>
      <c r="L1" s="86"/>
      <c r="M1" s="86"/>
      <c r="N1" s="86"/>
      <c r="O1" s="86"/>
      <c r="P1" s="86"/>
      <c r="Q1" s="86"/>
      <c r="R1" s="86"/>
      <c r="S1" s="86"/>
      <c r="T1" s="86"/>
    </row>
    <row r="2" spans="1:20" ht="15.75" x14ac:dyDescent="0.25">
      <c r="A2" s="87" t="s">
        <v>1</v>
      </c>
      <c r="B2" s="87"/>
      <c r="C2" s="87"/>
      <c r="D2" s="87"/>
      <c r="E2" s="87"/>
      <c r="F2" s="87"/>
      <c r="G2" s="87"/>
      <c r="H2" s="87"/>
      <c r="I2" s="87"/>
      <c r="J2" s="87"/>
      <c r="K2" s="87"/>
      <c r="L2" s="87"/>
      <c r="M2" s="87"/>
      <c r="N2" s="87"/>
      <c r="O2" s="87"/>
      <c r="P2" s="87"/>
      <c r="Q2" s="87"/>
      <c r="R2" s="87"/>
      <c r="S2" s="87"/>
      <c r="T2" s="87"/>
    </row>
    <row r="3" spans="1:20" s="2" customFormat="1" ht="15.75" x14ac:dyDescent="0.25">
      <c r="A3" s="87" t="s">
        <v>2</v>
      </c>
      <c r="B3" s="87"/>
      <c r="C3" s="87"/>
      <c r="D3" s="87"/>
      <c r="E3" s="87"/>
      <c r="F3" s="87"/>
      <c r="G3" s="87"/>
      <c r="H3" s="87"/>
      <c r="I3" s="87"/>
      <c r="J3" s="87"/>
      <c r="K3" s="87"/>
      <c r="L3" s="87"/>
      <c r="M3" s="87"/>
      <c r="N3" s="87"/>
      <c r="O3" s="87"/>
      <c r="P3" s="87"/>
      <c r="Q3" s="87"/>
      <c r="R3" s="87"/>
      <c r="S3" s="87"/>
      <c r="T3" s="87"/>
    </row>
    <row r="4" spans="1:20" s="2" customFormat="1" ht="14.25" customHeight="1" x14ac:dyDescent="0.25">
      <c r="A4" s="88" t="s">
        <v>3</v>
      </c>
      <c r="B4" s="88"/>
      <c r="C4" s="88"/>
      <c r="D4" s="88"/>
      <c r="E4" s="88"/>
      <c r="F4" s="88"/>
      <c r="G4" s="88"/>
      <c r="H4" s="88"/>
      <c r="I4" s="88"/>
      <c r="J4" s="88"/>
      <c r="K4" s="88"/>
      <c r="L4" s="88"/>
      <c r="M4" s="88"/>
      <c r="N4" s="88"/>
      <c r="O4" s="88"/>
      <c r="P4" s="88"/>
      <c r="Q4" s="88"/>
      <c r="R4" s="88"/>
      <c r="S4" s="88"/>
      <c r="T4" s="88"/>
    </row>
    <row r="5" spans="1:20" s="2" customFormat="1" x14ac:dyDescent="0.25">
      <c r="A5" s="89" t="s">
        <v>4</v>
      </c>
      <c r="B5" s="89"/>
      <c r="C5" s="89"/>
      <c r="D5" s="89"/>
      <c r="E5" s="89"/>
      <c r="F5" s="89"/>
      <c r="G5" s="89"/>
      <c r="H5" s="89"/>
      <c r="I5" s="89"/>
      <c r="J5" s="89"/>
      <c r="K5" s="89"/>
      <c r="L5" s="89"/>
      <c r="M5" s="89"/>
      <c r="N5" s="89"/>
      <c r="O5" s="89"/>
      <c r="P5" s="89"/>
      <c r="Q5" s="89"/>
      <c r="R5" s="89"/>
      <c r="S5" s="89"/>
      <c r="T5" s="89"/>
    </row>
    <row r="6" spans="1:20" s="2" customFormat="1" x14ac:dyDescent="0.25">
      <c r="A6" s="3"/>
      <c r="B6" s="3"/>
      <c r="C6" s="3"/>
      <c r="D6" s="3"/>
      <c r="E6" s="3"/>
      <c r="F6" s="3"/>
      <c r="G6" s="3"/>
      <c r="H6" s="3"/>
      <c r="I6" s="3"/>
      <c r="J6" s="3"/>
      <c r="K6" s="3"/>
      <c r="L6" s="3"/>
      <c r="M6" s="3"/>
      <c r="N6" s="3"/>
      <c r="O6" s="3"/>
      <c r="P6" s="3"/>
      <c r="Q6" s="3"/>
      <c r="R6" s="3"/>
    </row>
    <row r="7" spans="1:20" s="2" customFormat="1" x14ac:dyDescent="0.25">
      <c r="A7" s="4"/>
      <c r="B7" s="4"/>
      <c r="C7" s="5"/>
      <c r="D7" s="5"/>
      <c r="E7" s="5"/>
      <c r="F7" s="5"/>
      <c r="G7" s="5"/>
      <c r="H7" s="6"/>
      <c r="I7" s="7"/>
      <c r="J7" s="6"/>
      <c r="K7" s="6"/>
      <c r="L7" s="6"/>
      <c r="M7" s="6"/>
      <c r="N7" s="6"/>
      <c r="O7" s="6"/>
      <c r="P7" s="6"/>
      <c r="Q7" s="6"/>
      <c r="R7" s="6"/>
    </row>
    <row r="8" spans="1:20" s="8" customFormat="1" ht="14.25" customHeight="1" x14ac:dyDescent="0.25">
      <c r="A8" s="83" t="s">
        <v>61</v>
      </c>
      <c r="B8" s="84"/>
      <c r="C8" s="84"/>
      <c r="D8" s="84"/>
      <c r="E8" s="84"/>
      <c r="F8" s="84"/>
      <c r="G8" s="84"/>
      <c r="H8" s="84"/>
      <c r="I8" s="84"/>
      <c r="J8" s="84"/>
      <c r="K8" s="84"/>
      <c r="L8" s="84"/>
      <c r="M8" s="84"/>
      <c r="N8" s="84"/>
      <c r="O8" s="84"/>
      <c r="P8" s="84"/>
      <c r="Q8" s="84"/>
      <c r="R8" s="84"/>
      <c r="S8" s="84"/>
      <c r="T8" s="85"/>
    </row>
    <row r="9" spans="1:20" s="2" customFormat="1" ht="9" customHeight="1" x14ac:dyDescent="0.25">
      <c r="A9" s="4"/>
      <c r="B9" s="4"/>
      <c r="C9" s="5"/>
      <c r="D9" s="5"/>
      <c r="E9" s="5"/>
      <c r="F9" s="5"/>
      <c r="G9" s="5"/>
      <c r="H9" s="6"/>
      <c r="I9" s="7"/>
      <c r="J9" s="6"/>
      <c r="K9" s="6"/>
      <c r="L9" s="6"/>
      <c r="M9" s="6"/>
      <c r="N9" s="6"/>
      <c r="O9" s="6"/>
      <c r="P9" s="6"/>
      <c r="Q9" s="6"/>
      <c r="R9" s="6"/>
    </row>
    <row r="10" spans="1:20" s="13" customFormat="1" ht="12.75" x14ac:dyDescent="0.2">
      <c r="A10" s="9"/>
      <c r="B10" s="9"/>
      <c r="C10" s="91" t="s">
        <v>6</v>
      </c>
      <c r="D10" s="92"/>
      <c r="E10" s="92"/>
      <c r="F10" s="92"/>
      <c r="G10" s="92"/>
      <c r="H10" s="92"/>
      <c r="I10" s="92"/>
      <c r="J10" s="93"/>
      <c r="K10" s="11"/>
      <c r="L10" s="91" t="s">
        <v>7</v>
      </c>
      <c r="M10" s="92"/>
      <c r="N10" s="92"/>
      <c r="O10" s="93"/>
      <c r="P10" s="12"/>
      <c r="Q10" s="91" t="s">
        <v>8</v>
      </c>
      <c r="R10" s="93"/>
    </row>
    <row r="11" spans="1:20" s="18" customFormat="1" ht="12" x14ac:dyDescent="0.2">
      <c r="A11" s="14"/>
      <c r="B11" s="14"/>
      <c r="C11" s="15"/>
      <c r="D11" s="16" t="s">
        <v>9</v>
      </c>
      <c r="E11" s="15"/>
      <c r="F11" s="15"/>
      <c r="G11" s="15"/>
      <c r="H11" s="16" t="s">
        <v>10</v>
      </c>
      <c r="I11" s="17" t="s">
        <v>11</v>
      </c>
      <c r="J11" s="15"/>
      <c r="K11" s="15"/>
      <c r="L11" s="16" t="s">
        <v>10</v>
      </c>
      <c r="M11" s="16"/>
      <c r="N11" s="16" t="s">
        <v>9</v>
      </c>
      <c r="O11" s="16" t="s">
        <v>10</v>
      </c>
      <c r="Q11" s="16" t="s">
        <v>10</v>
      </c>
      <c r="R11" s="16" t="s">
        <v>10</v>
      </c>
      <c r="T11" s="16" t="s">
        <v>10</v>
      </c>
    </row>
    <row r="12" spans="1:20" s="21" customFormat="1" ht="12" x14ac:dyDescent="0.2">
      <c r="A12" s="19"/>
      <c r="B12" s="19"/>
      <c r="C12" s="16" t="s">
        <v>12</v>
      </c>
      <c r="D12" s="20" t="s">
        <v>13</v>
      </c>
      <c r="E12" s="16" t="s">
        <v>12</v>
      </c>
      <c r="F12" s="16" t="s">
        <v>62</v>
      </c>
      <c r="G12" s="16"/>
      <c r="H12" s="16" t="s">
        <v>14</v>
      </c>
      <c r="I12" s="17" t="s">
        <v>15</v>
      </c>
      <c r="J12" s="16" t="s">
        <v>16</v>
      </c>
      <c r="K12" s="16"/>
      <c r="L12" s="21" t="s">
        <v>11</v>
      </c>
      <c r="M12" s="16" t="s">
        <v>17</v>
      </c>
      <c r="N12" s="16" t="s">
        <v>17</v>
      </c>
      <c r="O12" s="16" t="s">
        <v>17</v>
      </c>
      <c r="Q12" s="21" t="s">
        <v>11</v>
      </c>
      <c r="R12" s="16" t="s">
        <v>18</v>
      </c>
      <c r="T12" s="16" t="s">
        <v>10</v>
      </c>
    </row>
    <row r="13" spans="1:20" s="21" customFormat="1" ht="12" x14ac:dyDescent="0.2">
      <c r="A13" s="22" t="s">
        <v>19</v>
      </c>
      <c r="B13" s="22"/>
      <c r="C13" s="23" t="s">
        <v>20</v>
      </c>
      <c r="D13" s="23" t="s">
        <v>12</v>
      </c>
      <c r="E13" s="23" t="s">
        <v>21</v>
      </c>
      <c r="F13" s="23" t="s">
        <v>63</v>
      </c>
      <c r="G13" s="23"/>
      <c r="H13" s="23" t="s">
        <v>22</v>
      </c>
      <c r="I13" s="24" t="s">
        <v>23</v>
      </c>
      <c r="J13" s="23" t="s">
        <v>24</v>
      </c>
      <c r="K13" s="20"/>
      <c r="L13" s="23" t="s">
        <v>25</v>
      </c>
      <c r="M13" s="23" t="s">
        <v>26</v>
      </c>
      <c r="N13" s="23" t="s">
        <v>12</v>
      </c>
      <c r="O13" s="23" t="s">
        <v>22</v>
      </c>
      <c r="P13" s="25"/>
      <c r="Q13" s="23" t="s">
        <v>8</v>
      </c>
      <c r="R13" s="23" t="s">
        <v>22</v>
      </c>
      <c r="T13" s="23" t="s">
        <v>27</v>
      </c>
    </row>
    <row r="14" spans="1:20" x14ac:dyDescent="0.25">
      <c r="A14" s="4">
        <v>42826</v>
      </c>
      <c r="C14" s="26">
        <v>64714911.169999994</v>
      </c>
      <c r="D14" s="26">
        <v>671804.35999999987</v>
      </c>
      <c r="E14" s="26">
        <v>59022105.963</v>
      </c>
      <c r="F14" s="26">
        <v>0</v>
      </c>
      <c r="G14" s="26"/>
      <c r="H14" s="26">
        <v>5021000.8469999982</v>
      </c>
      <c r="I14" s="27">
        <v>943.4666666666667</v>
      </c>
      <c r="J14" s="26">
        <v>177.39545106698694</v>
      </c>
      <c r="L14" s="27">
        <v>23</v>
      </c>
      <c r="M14" s="26">
        <v>3397190</v>
      </c>
      <c r="N14" s="26">
        <v>23010</v>
      </c>
      <c r="O14" s="26">
        <v>770511.75</v>
      </c>
      <c r="Q14" s="27">
        <v>12</v>
      </c>
      <c r="R14" s="26">
        <v>94299</v>
      </c>
      <c r="T14" s="26">
        <f>H14+O14+R14</f>
        <v>5885811.5969999982</v>
      </c>
    </row>
    <row r="15" spans="1:20" x14ac:dyDescent="0.25">
      <c r="A15" s="4">
        <v>42856</v>
      </c>
      <c r="C15" s="26">
        <v>70618249.510000005</v>
      </c>
      <c r="D15" s="26">
        <v>876810.45000000007</v>
      </c>
      <c r="E15" s="26">
        <v>64640967.269999996</v>
      </c>
      <c r="F15" s="26">
        <v>0</v>
      </c>
      <c r="G15" s="29"/>
      <c r="H15" s="26">
        <v>5100471.7899999982</v>
      </c>
      <c r="I15" s="27">
        <v>944</v>
      </c>
      <c r="J15" s="26">
        <v>174.29168227173312</v>
      </c>
      <c r="K15" s="29"/>
      <c r="L15" s="27">
        <v>29.677419354838708</v>
      </c>
      <c r="M15" s="26">
        <v>3822996</v>
      </c>
      <c r="N15" s="26">
        <v>27510</v>
      </c>
      <c r="O15" s="26">
        <v>801808</v>
      </c>
      <c r="P15" s="29"/>
      <c r="Q15" s="27">
        <v>12</v>
      </c>
      <c r="R15" s="26">
        <v>85057</v>
      </c>
      <c r="T15" s="26">
        <f t="shared" ref="T15:T25" si="0">H15+O15+R15</f>
        <v>5987336.7899999982</v>
      </c>
    </row>
    <row r="16" spans="1:20" x14ac:dyDescent="0.25">
      <c r="A16" s="4">
        <v>42887</v>
      </c>
      <c r="C16" s="26">
        <v>67278329.299999997</v>
      </c>
      <c r="D16" s="26">
        <v>921429.0199999999</v>
      </c>
      <c r="E16" s="26">
        <v>61461117.660000011</v>
      </c>
      <c r="F16" s="26">
        <v>0</v>
      </c>
      <c r="G16" s="29"/>
      <c r="H16" s="26">
        <v>4895782.620000001</v>
      </c>
      <c r="I16" s="27">
        <v>944</v>
      </c>
      <c r="J16" s="26">
        <v>172.87368008474581</v>
      </c>
      <c r="K16" s="29"/>
      <c r="L16" s="27">
        <v>32</v>
      </c>
      <c r="M16" s="26">
        <v>3609609</v>
      </c>
      <c r="N16" s="26">
        <v>25760</v>
      </c>
      <c r="O16" s="26">
        <v>746435.75</v>
      </c>
      <c r="P16" s="29"/>
      <c r="Q16" s="27">
        <v>12</v>
      </c>
      <c r="R16" s="26">
        <v>72459</v>
      </c>
      <c r="T16" s="26">
        <f t="shared" si="0"/>
        <v>5714677.370000001</v>
      </c>
    </row>
    <row r="17" spans="1:20" x14ac:dyDescent="0.25">
      <c r="A17" s="4">
        <v>42917</v>
      </c>
      <c r="C17" s="26">
        <v>73332828.059999987</v>
      </c>
      <c r="D17" s="26">
        <v>988849.01999999979</v>
      </c>
      <c r="E17" s="26">
        <v>67177853.620000005</v>
      </c>
      <c r="F17" s="26">
        <v>0</v>
      </c>
      <c r="G17" s="30"/>
      <c r="H17" s="26">
        <v>5177649.59</v>
      </c>
      <c r="I17" s="27">
        <v>944</v>
      </c>
      <c r="J17" s="26">
        <v>176.92897724166212</v>
      </c>
      <c r="K17" s="30"/>
      <c r="L17" s="27">
        <v>32</v>
      </c>
      <c r="M17" s="26">
        <v>3522908</v>
      </c>
      <c r="N17" s="26">
        <v>12175</v>
      </c>
      <c r="O17" s="26">
        <v>644741.75</v>
      </c>
      <c r="P17" s="30"/>
      <c r="Q17" s="27">
        <v>12</v>
      </c>
      <c r="R17" s="26">
        <v>75765</v>
      </c>
      <c r="S17" s="30"/>
      <c r="T17" s="26">
        <f t="shared" si="0"/>
        <v>5898156.3399999999</v>
      </c>
    </row>
    <row r="18" spans="1:20" x14ac:dyDescent="0.25">
      <c r="A18" s="4">
        <v>42948</v>
      </c>
      <c r="C18" s="26">
        <v>72141701.969999999</v>
      </c>
      <c r="D18" s="26">
        <v>987612.13</v>
      </c>
      <c r="E18" s="26">
        <v>66226454.460000001</v>
      </c>
      <c r="F18" s="26">
        <v>0</v>
      </c>
      <c r="G18" s="30"/>
      <c r="H18" s="26">
        <v>4941760.379999999</v>
      </c>
      <c r="I18" s="27">
        <v>940.77419354838707</v>
      </c>
      <c r="J18" s="26">
        <v>169.44727677959125</v>
      </c>
      <c r="K18" s="30"/>
      <c r="L18" s="27">
        <v>32</v>
      </c>
      <c r="M18" s="26">
        <v>3700523</v>
      </c>
      <c r="N18" s="26">
        <v>15360</v>
      </c>
      <c r="O18" s="26">
        <v>728758.25</v>
      </c>
      <c r="P18" s="30"/>
      <c r="Q18" s="27">
        <v>12</v>
      </c>
      <c r="R18" s="26">
        <v>76600</v>
      </c>
      <c r="S18" s="30"/>
      <c r="T18" s="26">
        <f t="shared" si="0"/>
        <v>5747118.629999999</v>
      </c>
    </row>
    <row r="19" spans="1:20" x14ac:dyDescent="0.25">
      <c r="A19" s="4">
        <v>42979</v>
      </c>
      <c r="C19" s="26">
        <v>72370334.39000003</v>
      </c>
      <c r="D19" s="26">
        <v>1010506.8699999995</v>
      </c>
      <c r="E19" s="26">
        <v>66525918.479999989</v>
      </c>
      <c r="F19" s="26">
        <v>0</v>
      </c>
      <c r="G19" s="30"/>
      <c r="H19" s="26">
        <v>4846844.040000001</v>
      </c>
      <c r="I19" s="27">
        <v>944</v>
      </c>
      <c r="J19" s="26">
        <v>171.14562288135596</v>
      </c>
      <c r="K19" s="30"/>
      <c r="L19" s="27">
        <v>32</v>
      </c>
      <c r="M19" s="26">
        <v>3426314</v>
      </c>
      <c r="N19" s="26">
        <v>21305</v>
      </c>
      <c r="O19" s="26">
        <v>737721.5</v>
      </c>
      <c r="P19" s="30"/>
      <c r="Q19" s="27">
        <v>12</v>
      </c>
      <c r="R19" s="26">
        <v>62882</v>
      </c>
      <c r="S19" s="30"/>
      <c r="T19" s="26">
        <f t="shared" si="0"/>
        <v>5647447.540000001</v>
      </c>
    </row>
    <row r="20" spans="1:20" x14ac:dyDescent="0.25">
      <c r="A20" s="4">
        <v>43009</v>
      </c>
      <c r="C20" s="26">
        <v>68397566.74000001</v>
      </c>
      <c r="D20" s="26">
        <v>769184.17999999982</v>
      </c>
      <c r="E20" s="26">
        <v>62999470.190000005</v>
      </c>
      <c r="F20" s="26">
        <v>0</v>
      </c>
      <c r="G20" s="30"/>
      <c r="H20" s="26">
        <v>4642055.3699999992</v>
      </c>
      <c r="I20" s="27">
        <v>944</v>
      </c>
      <c r="J20" s="26">
        <v>158.6268237424822</v>
      </c>
      <c r="K20" s="30"/>
      <c r="L20" s="27">
        <v>32</v>
      </c>
      <c r="M20" s="26">
        <v>3399954</v>
      </c>
      <c r="N20" s="26">
        <v>20815</v>
      </c>
      <c r="O20" s="26">
        <v>706654.5</v>
      </c>
      <c r="P20" s="30"/>
      <c r="Q20" s="27">
        <v>12</v>
      </c>
      <c r="R20" s="26">
        <v>49083</v>
      </c>
      <c r="S20" s="30"/>
      <c r="T20" s="26">
        <f t="shared" si="0"/>
        <v>5397792.8699999992</v>
      </c>
    </row>
    <row r="21" spans="1:20" x14ac:dyDescent="0.25">
      <c r="A21" s="4">
        <v>43040</v>
      </c>
      <c r="C21" s="26">
        <v>68314545.022</v>
      </c>
      <c r="D21" s="26">
        <v>666115.53</v>
      </c>
      <c r="E21" s="26">
        <v>63068226.140000008</v>
      </c>
      <c r="F21" s="26">
        <v>0</v>
      </c>
      <c r="G21" s="30"/>
      <c r="H21" s="26">
        <v>4589768.352</v>
      </c>
      <c r="I21" s="27">
        <v>944</v>
      </c>
      <c r="J21" s="26">
        <v>162.06809152542374</v>
      </c>
      <c r="K21" s="30"/>
      <c r="L21" s="27">
        <v>32</v>
      </c>
      <c r="M21" s="26">
        <v>3689202</v>
      </c>
      <c r="N21" s="26">
        <v>29815</v>
      </c>
      <c r="O21" s="26">
        <v>665530.5</v>
      </c>
      <c r="P21" s="30"/>
      <c r="Q21" s="27">
        <v>12</v>
      </c>
      <c r="R21" s="26">
        <v>62092</v>
      </c>
      <c r="S21" s="30"/>
      <c r="T21" s="26">
        <f t="shared" si="0"/>
        <v>5317390.852</v>
      </c>
    </row>
    <row r="22" spans="1:20" x14ac:dyDescent="0.25">
      <c r="A22" s="4">
        <v>43070</v>
      </c>
      <c r="C22" s="26">
        <v>68824354.829999998</v>
      </c>
      <c r="D22" s="26">
        <v>701425.02999999991</v>
      </c>
      <c r="E22" s="26">
        <v>63121833.329999998</v>
      </c>
      <c r="F22" s="26">
        <v>0</v>
      </c>
      <c r="G22" s="30"/>
      <c r="H22" s="26">
        <v>5013222.4700000007</v>
      </c>
      <c r="I22" s="27">
        <v>944</v>
      </c>
      <c r="J22" s="26">
        <v>171.31022655822855</v>
      </c>
      <c r="K22" s="30"/>
      <c r="L22" s="27">
        <v>32</v>
      </c>
      <c r="M22" s="26">
        <v>3946512</v>
      </c>
      <c r="N22" s="26">
        <v>42305</v>
      </c>
      <c r="O22" s="26">
        <v>776119</v>
      </c>
      <c r="P22" s="30"/>
      <c r="Q22" s="27">
        <v>12</v>
      </c>
      <c r="R22" s="26">
        <v>61894</v>
      </c>
      <c r="S22" s="30"/>
      <c r="T22" s="26">
        <f t="shared" si="0"/>
        <v>5851235.4700000007</v>
      </c>
    </row>
    <row r="23" spans="1:20" x14ac:dyDescent="0.25">
      <c r="A23" s="4">
        <v>43101</v>
      </c>
      <c r="C23" s="26">
        <v>66796465.029999994</v>
      </c>
      <c r="D23" s="26">
        <v>684582.60999999987</v>
      </c>
      <c r="E23" s="26">
        <v>61419638.760000005</v>
      </c>
      <c r="F23" s="26">
        <v>0</v>
      </c>
      <c r="G23" s="30"/>
      <c r="H23" s="26">
        <v>4706993.6599999983</v>
      </c>
      <c r="I23" s="27">
        <v>944</v>
      </c>
      <c r="J23" s="26">
        <v>160.84587411153632</v>
      </c>
      <c r="K23" s="30"/>
      <c r="L23" s="27">
        <v>32</v>
      </c>
      <c r="M23" s="26">
        <v>3707925</v>
      </c>
      <c r="N23" s="26">
        <v>44155</v>
      </c>
      <c r="O23" s="26">
        <v>863188.99</v>
      </c>
      <c r="P23" s="30"/>
      <c r="Q23" s="27">
        <v>12</v>
      </c>
      <c r="R23" s="26">
        <v>80019</v>
      </c>
      <c r="S23" s="30"/>
      <c r="T23" s="26">
        <f t="shared" si="0"/>
        <v>5650201.6499999985</v>
      </c>
    </row>
    <row r="24" spans="1:20" x14ac:dyDescent="0.25">
      <c r="A24" s="4">
        <v>43132</v>
      </c>
      <c r="C24" s="26">
        <v>70851023.790000021</v>
      </c>
      <c r="D24" s="26">
        <v>706569.22</v>
      </c>
      <c r="E24" s="26">
        <v>65157995.090000004</v>
      </c>
      <c r="F24" s="26">
        <v>0</v>
      </c>
      <c r="G24" s="30"/>
      <c r="H24" s="26">
        <v>4997129.4799999995</v>
      </c>
      <c r="I24" s="27">
        <v>944</v>
      </c>
      <c r="J24" s="26">
        <v>189.05604872881358</v>
      </c>
      <c r="K24" s="30"/>
      <c r="L24" s="27">
        <v>32</v>
      </c>
      <c r="M24" s="26">
        <v>3617428</v>
      </c>
      <c r="N24" s="26">
        <v>49975</v>
      </c>
      <c r="O24" s="26">
        <v>780844.5</v>
      </c>
      <c r="P24" s="30"/>
      <c r="Q24" s="27">
        <v>12</v>
      </c>
      <c r="R24" s="26">
        <v>98619</v>
      </c>
      <c r="S24" s="30"/>
      <c r="T24" s="26">
        <f t="shared" si="0"/>
        <v>5876592.9799999995</v>
      </c>
    </row>
    <row r="25" spans="1:20" x14ac:dyDescent="0.25">
      <c r="A25" s="4">
        <v>43160</v>
      </c>
      <c r="C25" s="26">
        <v>88173768.950000003</v>
      </c>
      <c r="D25" s="26">
        <v>845672.92</v>
      </c>
      <c r="E25" s="26">
        <v>81060792.280000001</v>
      </c>
      <c r="F25" s="26">
        <v>0</v>
      </c>
      <c r="G25" s="30"/>
      <c r="H25" s="26">
        <v>6283151.7499999991</v>
      </c>
      <c r="I25" s="27">
        <v>944</v>
      </c>
      <c r="J25" s="26">
        <v>215</v>
      </c>
      <c r="K25" s="30">
        <v>11524.17</v>
      </c>
      <c r="L25" s="27">
        <v>32</v>
      </c>
      <c r="M25" s="26">
        <v>4636481</v>
      </c>
      <c r="N25" s="26">
        <v>70910</v>
      </c>
      <c r="O25" s="26">
        <v>1015104.75</v>
      </c>
      <c r="P25" s="30"/>
      <c r="Q25" s="27">
        <v>12</v>
      </c>
      <c r="R25" s="26">
        <v>107453</v>
      </c>
      <c r="S25" s="30"/>
      <c r="T25" s="26">
        <f t="shared" si="0"/>
        <v>7405709.4999999991</v>
      </c>
    </row>
    <row r="26" spans="1:20" ht="15.75" thickBot="1" x14ac:dyDescent="0.3">
      <c r="A26" s="4" t="s">
        <v>28</v>
      </c>
      <c r="C26" s="31">
        <f>SUM(C14:C25)</f>
        <v>851814078.76200008</v>
      </c>
      <c r="D26" s="31">
        <f>SUM(D14:D25)</f>
        <v>9830561.3399999999</v>
      </c>
      <c r="E26" s="31">
        <f>SUM(E14:E25)</f>
        <v>781882373.24299991</v>
      </c>
      <c r="F26" s="31">
        <f t="shared" ref="F26" si="1">SUM(F14:F24)</f>
        <v>0</v>
      </c>
      <c r="G26" s="31"/>
      <c r="H26" s="31">
        <f>SUM(H14:H25)</f>
        <v>60215830.348999985</v>
      </c>
      <c r="I26" s="35">
        <v>944</v>
      </c>
      <c r="J26" s="31">
        <v>175</v>
      </c>
      <c r="K26" s="34"/>
      <c r="L26" s="35">
        <v>31</v>
      </c>
      <c r="M26" s="31">
        <f>SUM(M14:M25)</f>
        <v>44477042</v>
      </c>
      <c r="N26" s="31">
        <f>SUM(N14:N25)</f>
        <v>383095</v>
      </c>
      <c r="O26" s="31">
        <f>SUM(O14:O25)</f>
        <v>9237419.2400000002</v>
      </c>
      <c r="P26" s="33"/>
      <c r="Q26" s="32">
        <v>12</v>
      </c>
      <c r="R26" s="31">
        <f>SUM(R14:R25)</f>
        <v>926222</v>
      </c>
      <c r="S26" s="33"/>
      <c r="T26" s="31">
        <f>SUM(T14:T25)</f>
        <v>70379471.588999987</v>
      </c>
    </row>
    <row r="27" spans="1:20" ht="10.5" customHeight="1" thickTop="1" x14ac:dyDescent="0.25">
      <c r="C27" s="36"/>
      <c r="D27" s="36"/>
      <c r="E27" s="36"/>
      <c r="F27" s="36"/>
      <c r="G27" s="36"/>
      <c r="H27" s="36"/>
      <c r="L27" s="38"/>
      <c r="M27" s="36"/>
      <c r="N27" s="36"/>
      <c r="O27" s="36"/>
      <c r="P27" s="36"/>
      <c r="Q27" s="38"/>
      <c r="R27" s="36"/>
    </row>
    <row r="28" spans="1:20" s="42" customFormat="1" x14ac:dyDescent="0.25">
      <c r="A28" s="39"/>
      <c r="B28" s="39"/>
      <c r="C28" s="40"/>
      <c r="D28" s="41">
        <f>D26/$C$26</f>
        <v>1.1540735924777659E-2</v>
      </c>
      <c r="E28" s="41">
        <f>E26/$C$26</f>
        <v>0.91790261834996112</v>
      </c>
      <c r="F28" s="41">
        <f>F26/$C$26</f>
        <v>0</v>
      </c>
      <c r="G28" s="41"/>
      <c r="H28" s="40">
        <f>H26/$C$26</f>
        <v>7.0691283286272735E-2</v>
      </c>
      <c r="L28" s="40"/>
      <c r="M28" s="40"/>
      <c r="N28" s="40"/>
      <c r="O28" s="40">
        <f>O26/$M$26</f>
        <v>0.20768960399839539</v>
      </c>
      <c r="P28" s="40"/>
      <c r="Q28" s="40"/>
      <c r="R28" s="40"/>
    </row>
    <row r="29" spans="1:20" s="42" customFormat="1" x14ac:dyDescent="0.25">
      <c r="A29" s="39"/>
      <c r="B29" s="39"/>
      <c r="C29" s="40"/>
      <c r="D29" s="40"/>
      <c r="E29" s="40"/>
      <c r="F29" s="40"/>
      <c r="G29" s="40"/>
      <c r="H29" s="40"/>
      <c r="L29" s="40"/>
      <c r="M29" s="40"/>
      <c r="N29" s="40"/>
      <c r="O29" s="40"/>
      <c r="P29" s="40"/>
      <c r="Q29" s="40"/>
      <c r="R29" s="40"/>
    </row>
    <row r="30" spans="1:20" s="42" customFormat="1" x14ac:dyDescent="0.25">
      <c r="A30" s="83" t="s">
        <v>29</v>
      </c>
      <c r="B30" s="84"/>
      <c r="C30" s="84"/>
      <c r="D30" s="84"/>
      <c r="E30" s="84"/>
      <c r="F30" s="84"/>
      <c r="G30" s="84"/>
      <c r="H30" s="84"/>
      <c r="I30" s="84"/>
      <c r="J30" s="84"/>
      <c r="K30" s="84"/>
      <c r="L30" s="84"/>
      <c r="M30" s="84"/>
      <c r="N30" s="84"/>
      <c r="O30" s="84"/>
      <c r="P30" s="84"/>
      <c r="Q30" s="84"/>
      <c r="R30" s="84"/>
      <c r="S30" s="84"/>
      <c r="T30" s="85"/>
    </row>
    <row r="31" spans="1:20" s="44" customFormat="1" x14ac:dyDescent="0.25">
      <c r="A31" s="43"/>
      <c r="B31" s="43"/>
      <c r="C31" s="43"/>
      <c r="D31" s="43"/>
      <c r="E31" s="43"/>
      <c r="F31" s="43"/>
      <c r="G31" s="43"/>
      <c r="H31" s="43"/>
      <c r="I31" s="43"/>
      <c r="J31" s="43"/>
      <c r="K31" s="43"/>
      <c r="L31" s="43"/>
      <c r="M31" s="43"/>
      <c r="N31" s="43"/>
      <c r="O31" s="43"/>
      <c r="P31" s="43"/>
      <c r="Q31" s="43"/>
      <c r="R31" s="43"/>
    </row>
    <row r="32" spans="1:20" s="44" customFormat="1" x14ac:dyDescent="0.25">
      <c r="A32" s="43"/>
      <c r="B32" s="43"/>
      <c r="C32" s="43"/>
      <c r="D32" s="43"/>
      <c r="E32" s="43"/>
      <c r="F32" s="43"/>
      <c r="G32" s="43"/>
      <c r="H32" s="94" t="s">
        <v>30</v>
      </c>
      <c r="I32" s="95"/>
      <c r="J32" s="95"/>
      <c r="K32" s="95"/>
      <c r="L32" s="95"/>
      <c r="M32" s="95"/>
      <c r="N32" s="95"/>
      <c r="O32" s="95"/>
      <c r="P32" s="95"/>
      <c r="Q32" s="96"/>
      <c r="R32" s="45"/>
    </row>
    <row r="33" spans="1:20" s="46" customFormat="1" ht="12" x14ac:dyDescent="0.2">
      <c r="H33" s="16" t="s">
        <v>31</v>
      </c>
      <c r="I33" s="16" t="s">
        <v>32</v>
      </c>
      <c r="J33" s="16" t="s">
        <v>33</v>
      </c>
      <c r="M33" s="47"/>
      <c r="N33" s="47"/>
      <c r="O33" s="47"/>
      <c r="P33" s="47"/>
      <c r="Q33" s="47"/>
      <c r="R33" s="47"/>
    </row>
    <row r="34" spans="1:20" s="46" customFormat="1" ht="12.75" customHeight="1" x14ac:dyDescent="0.2">
      <c r="D34" s="16" t="s">
        <v>34</v>
      </c>
      <c r="E34" s="46" t="s">
        <v>10</v>
      </c>
      <c r="F34" s="46" t="s">
        <v>36</v>
      </c>
      <c r="H34" s="16" t="s">
        <v>37</v>
      </c>
      <c r="I34" s="16" t="s">
        <v>38</v>
      </c>
      <c r="J34" s="16" t="s">
        <v>39</v>
      </c>
      <c r="L34" s="90" t="s">
        <v>40</v>
      </c>
      <c r="M34" s="90"/>
      <c r="N34" s="90"/>
      <c r="O34" s="90"/>
      <c r="P34" s="90"/>
      <c r="Q34" s="90"/>
      <c r="R34" s="48"/>
    </row>
    <row r="35" spans="1:20" s="46" customFormat="1" ht="12" x14ac:dyDescent="0.2">
      <c r="C35" s="23" t="s">
        <v>27</v>
      </c>
      <c r="D35" s="23" t="s">
        <v>41</v>
      </c>
      <c r="E35" s="49" t="s">
        <v>42</v>
      </c>
      <c r="F35" s="49" t="s">
        <v>44</v>
      </c>
      <c r="G35" s="47"/>
      <c r="H35" s="23" t="s">
        <v>45</v>
      </c>
      <c r="I35" s="23" t="s">
        <v>46</v>
      </c>
      <c r="J35" s="23" t="s">
        <v>47</v>
      </c>
      <c r="K35" s="49"/>
      <c r="L35" s="49" t="s">
        <v>48</v>
      </c>
      <c r="M35" s="49" t="s">
        <v>49</v>
      </c>
      <c r="N35" s="49" t="s">
        <v>50</v>
      </c>
      <c r="O35" s="49" t="s">
        <v>51</v>
      </c>
      <c r="P35" s="50"/>
      <c r="Q35" s="49" t="s">
        <v>52</v>
      </c>
    </row>
    <row r="36" spans="1:20" s="42" customFormat="1" x14ac:dyDescent="0.25">
      <c r="A36" s="4">
        <v>42826</v>
      </c>
      <c r="B36" s="39"/>
      <c r="C36" s="36">
        <f t="shared" ref="C36:C47" si="2">T14</f>
        <v>5885811.5969999982</v>
      </c>
      <c r="D36" s="36">
        <f t="shared" ref="D36:D47" si="3">(H14*0.63)+(O14+R14)*0.9</f>
        <v>3941560.2086099992</v>
      </c>
      <c r="E36" s="36">
        <f t="shared" ref="E36:E47" si="4">(H14*0.37)+(O14+R14)*0.1</f>
        <v>1944251.3883899993</v>
      </c>
      <c r="F36" s="26">
        <v>0</v>
      </c>
      <c r="H36" s="36">
        <f>H14*0.37*0.8+(O14+R14)*0.1*0.8</f>
        <v>1555401.1107119997</v>
      </c>
      <c r="I36" s="36">
        <f>H14*0.37*0.05+(O14+R14)*0.1*0.05</f>
        <v>97212.569419499981</v>
      </c>
      <c r="J36" s="36">
        <f>H14*0.37*0.05+(O14+R14)*0.1*0.05</f>
        <v>97212.569419499981</v>
      </c>
      <c r="L36" s="36">
        <f>(H14*0.37*0.1+(O14+R14)*0.1*0.1)*200600/373770</f>
        <v>104346.74492630064</v>
      </c>
      <c r="M36" s="36">
        <f>(H14*0.37*0.1+(O14+R14)*0.1*0.1)*41600/373770</f>
        <v>21639.205328684482</v>
      </c>
      <c r="N36" s="36">
        <f>(H14*0.37*0.1+(O14+R14)*0.1*0.1)*9989/373770</f>
        <v>5196.0101449093572</v>
      </c>
      <c r="O36" s="36">
        <f>(H14*0.37*0.1+(O14+R14)*0.1*0.1)*101564/373770</f>
        <v>52830.871394291127</v>
      </c>
      <c r="Q36" s="36">
        <f>(H14*0.37*0.1+(O14+R14)*0.1*0.1)*20017/373770</f>
        <v>10412.307044814357</v>
      </c>
    </row>
    <row r="37" spans="1:20" s="42" customFormat="1" x14ac:dyDescent="0.25">
      <c r="A37" s="4">
        <v>42856</v>
      </c>
      <c r="B37" s="39"/>
      <c r="C37" s="36">
        <f t="shared" si="2"/>
        <v>5987336.7899999982</v>
      </c>
      <c r="D37" s="36">
        <f t="shared" si="3"/>
        <v>4011475.7276999988</v>
      </c>
      <c r="E37" s="36">
        <f t="shared" si="4"/>
        <v>1975861.0622999994</v>
      </c>
      <c r="F37" s="26">
        <v>0</v>
      </c>
      <c r="G37" s="29"/>
      <c r="H37" s="36">
        <f>H15*0.37*0.8+(O15+R15)*0.1*0.8</f>
        <v>1580688.8498399996</v>
      </c>
      <c r="I37" s="36">
        <f>H15*0.37*0.05+(O15+R15)*0.1*0.05</f>
        <v>98793.053114999973</v>
      </c>
      <c r="J37" s="36">
        <f>H15*0.37*0.05+(O15+R15)*0.1*0.05</f>
        <v>98793.053114999973</v>
      </c>
      <c r="K37" s="29"/>
      <c r="L37" s="36">
        <f>(H15*0.37*0.1+(O15+R15)*0.1*0.1)*200600/373770</f>
        <v>106043.21617502205</v>
      </c>
      <c r="M37" s="36">
        <f>(H15*0.37*0.1+(O15+R15)*0.1*0.1)*41600/373770</f>
        <v>21991.015916654622</v>
      </c>
      <c r="N37" s="36">
        <f>(H15*0.37*0.1+(O15+R15)*0.1*0.1)*9989/373770</f>
        <v>5280.4869709486302</v>
      </c>
      <c r="O37" s="36">
        <f>(H15*0.37*0.1+(O15+R15)*0.1*0.1)*101564/373770</f>
        <v>53689.796648055526</v>
      </c>
      <c r="P37" s="29"/>
      <c r="Q37" s="36">
        <f>(H15*0.37*0.1+(O15+R15)*0.1*0.1)*20017/373770</f>
        <v>10581.590519319125</v>
      </c>
      <c r="S37" s="28"/>
      <c r="T37" s="28"/>
    </row>
    <row r="38" spans="1:20" s="42" customFormat="1" x14ac:dyDescent="0.25">
      <c r="A38" s="4">
        <v>42887</v>
      </c>
      <c r="B38" s="39"/>
      <c r="C38" s="36">
        <f t="shared" si="2"/>
        <v>5714677.370000001</v>
      </c>
      <c r="D38" s="36">
        <f t="shared" si="3"/>
        <v>3821348.3256000006</v>
      </c>
      <c r="E38" s="36">
        <f t="shared" si="4"/>
        <v>1893329.0444000005</v>
      </c>
      <c r="F38" s="26">
        <v>0</v>
      </c>
      <c r="G38" s="29"/>
      <c r="H38" s="36">
        <f>H16*0.37*0.8+(O16+R16)*0.1*0.8</f>
        <v>1514663.2355200006</v>
      </c>
      <c r="I38" s="36">
        <f>H16*0.37*0.05+(O16+R16)*0.1*0.05</f>
        <v>94666.452220000036</v>
      </c>
      <c r="J38" s="36">
        <f>H16*0.37*0.05+(O16+R16)*0.1*0.05</f>
        <v>94666.452220000036</v>
      </c>
      <c r="K38" s="29"/>
      <c r="L38" s="36">
        <f>(H16*0.37*0.1+(O16+R16)*0.1*0.1)*200600/373770</f>
        <v>101613.77486332241</v>
      </c>
      <c r="M38" s="36">
        <f>(H16*0.37*0.1+(O16+R16)*0.1*0.1)*41600/373770</f>
        <v>21072.447828086799</v>
      </c>
      <c r="N38" s="36">
        <f>(H16*0.37*0.1+(O16+R16)*0.1*0.1)*9989/373770</f>
        <v>5059.9202248740148</v>
      </c>
      <c r="O38" s="36">
        <f>(H16*0.37*0.1+(O16+R16)*0.1*0.1)*101564/373770</f>
        <v>51447.165654129989</v>
      </c>
      <c r="P38" s="29"/>
      <c r="Q38" s="36">
        <f>(H16*0.37*0.1+(O16+R16)*0.1*0.1)*20017/373770</f>
        <v>10139.595869586861</v>
      </c>
      <c r="S38" s="28"/>
      <c r="T38" s="28"/>
    </row>
    <row r="39" spans="1:20" s="42" customFormat="1" x14ac:dyDescent="0.25">
      <c r="A39" s="4">
        <v>42917</v>
      </c>
      <c r="B39" s="39"/>
      <c r="C39" s="36">
        <f t="shared" si="2"/>
        <v>5898156.3399999999</v>
      </c>
      <c r="D39" s="36">
        <f t="shared" si="3"/>
        <v>3910375.3167000003</v>
      </c>
      <c r="E39" s="36">
        <f t="shared" si="4"/>
        <v>1987781.0233</v>
      </c>
      <c r="F39" s="34">
        <v>7475.85</v>
      </c>
      <c r="H39" s="36">
        <f>H17*0.37*0.8+(O17+R17)*0.1*0.8+(F39*0.8)</f>
        <v>1596205.4986400001</v>
      </c>
      <c r="I39" s="36">
        <f>H17*0.37*0.05+(O17+R17)*0.1*0.05+(F39*0.05)</f>
        <v>99762.843665000008</v>
      </c>
      <c r="J39" s="36">
        <f>H17*0.37*0.05+(O17+R17)*0.1*0.05+(F39*0.05)</f>
        <v>99762.843665000008</v>
      </c>
      <c r="K39" s="28"/>
      <c r="L39" s="36">
        <f>(H17*0.37*0.1+(O17+R17)*0.1*0.1)*200600/373770+(F39*0.1*200600/373770)</f>
        <v>107084.17710998208</v>
      </c>
      <c r="M39" s="36">
        <f>(H17*0.37*0.1+(O17+R17)*0.1*0.1)*41600/373770+(F39*0.1*41600/373770)</f>
        <v>22206.888174353215</v>
      </c>
      <c r="N39" s="36">
        <f>(H17*0.37*0.1+(O17+R17)*0.1*0.1)*9989/373770+(F39*0.1*9989/373770)</f>
        <v>5332.3222589811121</v>
      </c>
      <c r="O39" s="36">
        <f>(H17*0.37*0.1+(O17+R17)*0.1*0.1)*101564/373770+(F39*0.1*101564/373770)</f>
        <v>54216.836311057923</v>
      </c>
      <c r="Q39" s="36">
        <f>(H17*0.37*0.1+(O17+R17)*0.1*0.1)*20017/373770+(F39*0.1*20017/373770)</f>
        <v>10685.46347562568</v>
      </c>
      <c r="S39" s="28"/>
      <c r="T39" s="28"/>
    </row>
    <row r="40" spans="1:20" s="42" customFormat="1" x14ac:dyDescent="0.25">
      <c r="A40" s="4">
        <v>42948</v>
      </c>
      <c r="B40" s="39"/>
      <c r="C40" s="36">
        <f t="shared" si="2"/>
        <v>5747118.629999999</v>
      </c>
      <c r="D40" s="36">
        <f t="shared" si="3"/>
        <v>3838131.464399999</v>
      </c>
      <c r="E40" s="36">
        <f t="shared" si="4"/>
        <v>1908987.1655999995</v>
      </c>
      <c r="F40" s="34">
        <v>0</v>
      </c>
      <c r="H40" s="36">
        <f>H18*0.37*0.8+(O18+R18)*0.1*0.8+(F40*0.8)</f>
        <v>1527189.7324799995</v>
      </c>
      <c r="I40" s="36">
        <f>H18*0.37*0.05+(O18+R18)*0.1*0.05+(F40*0.05)</f>
        <v>95449.358279999971</v>
      </c>
      <c r="J40" s="36">
        <f>H18*0.37*0.05+(O18+R18)*0.1*0.05+(F40*0.05)</f>
        <v>95449.358279999971</v>
      </c>
      <c r="K40" s="28"/>
      <c r="L40" s="36">
        <f>(H18*0.37*0.1+(O18+R18)*0.1*0.1)*200600/373770+(F40*0.1*200600/373770)</f>
        <v>102454.13634570991</v>
      </c>
      <c r="M40" s="36">
        <f>(H18*0.37*0.1+(O18+R18)*0.1*0.1)*41600/373770+(F40*0.1*41600/373770)</f>
        <v>21246.72019930973</v>
      </c>
      <c r="N40" s="36">
        <f>(H18*0.37*0.1+(O18+R18)*0.1*0.1)*9989/373770+(F40*0.1*9989/373770)</f>
        <v>5101.7665401659833</v>
      </c>
      <c r="O40" s="36">
        <f>(H18*0.37*0.1+(O18+R18)*0.1*0.1)*101564/373770+(F40*0.1*101564/373770)</f>
        <v>51872.641594295514</v>
      </c>
      <c r="Q40" s="36">
        <f>(H18*0.37*0.1+(O18+R18)*0.1*0.1)*20017/373770+(F40*0.1*20017/373770)</f>
        <v>10223.451880518818</v>
      </c>
      <c r="S40" s="28"/>
      <c r="T40" s="28"/>
    </row>
    <row r="41" spans="1:20" s="42" customFormat="1" x14ac:dyDescent="0.25">
      <c r="A41" s="4">
        <v>42979</v>
      </c>
      <c r="B41" s="39"/>
      <c r="C41" s="36">
        <f t="shared" si="2"/>
        <v>5647447.540000001</v>
      </c>
      <c r="D41" s="36">
        <f t="shared" si="3"/>
        <v>3774054.8952000006</v>
      </c>
      <c r="E41" s="36">
        <f t="shared" si="4"/>
        <v>1873392.6448000004</v>
      </c>
      <c r="F41" s="34">
        <v>0</v>
      </c>
      <c r="G41" s="29"/>
      <c r="H41" s="36">
        <f>H19*0.37*0.8+(O19+R19)*0.1*0.8+(F41*0.8)</f>
        <v>1498714.1158400003</v>
      </c>
      <c r="I41" s="36">
        <f>H19*0.37*0.05+(O19+R19)*0.1*0.05+(F41*0.05)</f>
        <v>93669.632240000021</v>
      </c>
      <c r="J41" s="36">
        <f>H19*0.37*0.05+(O19+R19)*0.1*0.05+(F41*0.05)</f>
        <v>93669.632240000021</v>
      </c>
      <c r="K41" s="29"/>
      <c r="L41" s="36">
        <f>(H19*0.37*0.1+(O19+R19)*0.1*0.1)*200600/373770+(F41*0.1*200600/373770)</f>
        <v>100543.80087938574</v>
      </c>
      <c r="M41" s="36">
        <f>(H19*0.37*0.1+(O19+R19)*0.1*0.1)*41600/373770+(F41*0.1*41600/373770)</f>
        <v>20850.558906193655</v>
      </c>
      <c r="N41" s="36">
        <f>(H19*0.37*0.1+(O19+R19)*0.1*0.1)*9989/373770+(F41*0.1*9989/373770)</f>
        <v>5006.6402142780862</v>
      </c>
      <c r="O41" s="36">
        <f>(H19*0.37*0.1+(O19+R19)*0.1*0.1)*101564/373770+(F41*0.1*101564/373770)</f>
        <v>50905.436652611832</v>
      </c>
      <c r="P41" s="29"/>
      <c r="Q41" s="36">
        <f>(H19*0.37*0.1+(O19+R19)*0.1*0.1)*20017/373770+(F41*0.1*20017/373770)</f>
        <v>10032.827827530729</v>
      </c>
      <c r="S41" s="28"/>
      <c r="T41" s="28"/>
    </row>
    <row r="42" spans="1:20" s="42" customFormat="1" x14ac:dyDescent="0.25">
      <c r="A42" s="4">
        <v>43009</v>
      </c>
      <c r="B42" s="39"/>
      <c r="C42" s="36">
        <f t="shared" si="2"/>
        <v>5397792.8699999992</v>
      </c>
      <c r="D42" s="36">
        <f t="shared" si="3"/>
        <v>3604658.6330999993</v>
      </c>
      <c r="E42" s="36">
        <f t="shared" si="4"/>
        <v>1793134.2368999997</v>
      </c>
      <c r="F42" s="34">
        <v>0</v>
      </c>
      <c r="G42" s="27"/>
      <c r="H42" s="36">
        <f t="shared" ref="H42:H47" si="5">H20*0.37*0.8+(O20+R20)*0.1*0.8+(F42*0.8)</f>
        <v>1434507.3895199997</v>
      </c>
      <c r="I42" s="36">
        <f t="shared" ref="I42:I47" si="6">H20*0.37*0.05+(O20+R20)*0.1*0.05+(F42*0.05)</f>
        <v>89656.711844999983</v>
      </c>
      <c r="J42" s="36">
        <f t="shared" ref="J42:J47" si="7">H20*0.37*0.05+(O20+R20)*0.1*0.05+(F42*0.05)</f>
        <v>89656.711844999983</v>
      </c>
      <c r="K42" s="27"/>
      <c r="L42" s="36">
        <f t="shared" ref="L42:L47" si="8">(H20*0.37*0.1+(O20+R20)*0.1*0.1)*200600/373770+(F42*0.1*200600/373770)</f>
        <v>96236.382781427077</v>
      </c>
      <c r="M42" s="36">
        <f t="shared" ref="M42:M47" si="9">(H20*0.37*0.1+(O20+R20)*0.1*0.1)*41600/373770+(F42*0.1*41600/373770)</f>
        <v>19957.295731342801</v>
      </c>
      <c r="N42" s="36">
        <f t="shared" ref="N42:N47" si="10">(H20*0.37*0.1+(O20+R20)*0.1*0.1)*9989/373770+(F42*0.1*9989/373770)</f>
        <v>4792.1496889515201</v>
      </c>
      <c r="O42" s="36">
        <f t="shared" ref="O42:O47" si="11">(H20*0.37*0.1+(O20+R20)*0.1*0.1)*101564/373770+(F42*0.1*101564/373770)</f>
        <v>48724.586145627414</v>
      </c>
      <c r="P42" s="27"/>
      <c r="Q42" s="36">
        <f t="shared" ref="Q42:Q47" si="12">(H20*0.37*0.1+(O20+R20)*0.1*0.1)*20017/373770+(F42*0.1*20017/373770)</f>
        <v>9603.0093426511739</v>
      </c>
      <c r="S42" s="28"/>
      <c r="T42" s="28"/>
    </row>
    <row r="43" spans="1:20" s="42" customFormat="1" x14ac:dyDescent="0.25">
      <c r="A43" s="4">
        <v>43040</v>
      </c>
      <c r="B43" s="39"/>
      <c r="C43" s="36">
        <f t="shared" si="2"/>
        <v>5317390.852</v>
      </c>
      <c r="D43" s="36">
        <f t="shared" si="3"/>
        <v>3546414.31176</v>
      </c>
      <c r="E43" s="36">
        <f t="shared" si="4"/>
        <v>1770976.54024</v>
      </c>
      <c r="F43" s="34">
        <v>0</v>
      </c>
      <c r="G43" s="27"/>
      <c r="H43" s="36">
        <f t="shared" si="5"/>
        <v>1416781.2321920001</v>
      </c>
      <c r="I43" s="36">
        <f t="shared" si="6"/>
        <v>88548.827012000009</v>
      </c>
      <c r="J43" s="36">
        <f t="shared" si="7"/>
        <v>88548.827012000009</v>
      </c>
      <c r="K43" s="27"/>
      <c r="L43" s="36">
        <f t="shared" si="8"/>
        <v>95047.193186222547</v>
      </c>
      <c r="M43" s="36">
        <f t="shared" si="9"/>
        <v>19710.684130343259</v>
      </c>
      <c r="N43" s="36">
        <f t="shared" si="10"/>
        <v>4732.9332638942024</v>
      </c>
      <c r="O43" s="36">
        <f t="shared" si="11"/>
        <v>48122.498149379397</v>
      </c>
      <c r="P43" s="27"/>
      <c r="Q43" s="36">
        <f t="shared" si="12"/>
        <v>9484.3452941606029</v>
      </c>
      <c r="S43" s="28"/>
      <c r="T43" s="28"/>
    </row>
    <row r="44" spans="1:20" s="42" customFormat="1" x14ac:dyDescent="0.25">
      <c r="A44" s="4">
        <v>43070</v>
      </c>
      <c r="B44" s="39"/>
      <c r="C44" s="36">
        <f t="shared" si="2"/>
        <v>5851235.4700000007</v>
      </c>
      <c r="D44" s="36">
        <f t="shared" si="3"/>
        <v>3912541.8561000004</v>
      </c>
      <c r="E44" s="36">
        <f t="shared" si="4"/>
        <v>1938693.6139000002</v>
      </c>
      <c r="F44" s="34">
        <v>13242.37</v>
      </c>
      <c r="G44" s="59"/>
      <c r="H44" s="36">
        <f t="shared" si="5"/>
        <v>1561548.7871200002</v>
      </c>
      <c r="I44" s="36">
        <f t="shared" si="6"/>
        <v>97596.799195000014</v>
      </c>
      <c r="J44" s="36">
        <f t="shared" si="7"/>
        <v>97596.799195000014</v>
      </c>
      <c r="K44" s="29"/>
      <c r="L44" s="36">
        <f t="shared" si="8"/>
        <v>104759.17231729139</v>
      </c>
      <c r="M44" s="36">
        <f t="shared" si="9"/>
        <v>21724.733641073391</v>
      </c>
      <c r="N44" s="36">
        <f t="shared" si="10"/>
        <v>5216.547219727935</v>
      </c>
      <c r="O44" s="36">
        <f t="shared" si="11"/>
        <v>53039.683834662923</v>
      </c>
      <c r="P44" s="29"/>
      <c r="Q44" s="36">
        <f t="shared" si="12"/>
        <v>10453.461377244375</v>
      </c>
      <c r="S44" s="28"/>
      <c r="T44" s="28"/>
    </row>
    <row r="45" spans="1:20" s="42" customFormat="1" x14ac:dyDescent="0.25">
      <c r="A45" s="4">
        <v>43101</v>
      </c>
      <c r="B45" s="39"/>
      <c r="C45" s="36">
        <f t="shared" si="2"/>
        <v>5650201.6499999985</v>
      </c>
      <c r="D45" s="36">
        <f t="shared" si="3"/>
        <v>3814293.1967999991</v>
      </c>
      <c r="E45" s="36">
        <f t="shared" si="4"/>
        <v>1835908.4531999994</v>
      </c>
      <c r="F45" s="34">
        <f>11381.42-6331.27</f>
        <v>5050.1499999999996</v>
      </c>
      <c r="G45" s="59"/>
      <c r="H45" s="36">
        <f t="shared" si="5"/>
        <v>1472766.8825599998</v>
      </c>
      <c r="I45" s="36">
        <f t="shared" si="6"/>
        <v>92047.930159999989</v>
      </c>
      <c r="J45" s="36">
        <f t="shared" si="7"/>
        <v>92047.930159999989</v>
      </c>
      <c r="K45" s="29"/>
      <c r="L45" s="36">
        <f t="shared" si="8"/>
        <v>98803.086337030778</v>
      </c>
      <c r="M45" s="36">
        <f t="shared" si="9"/>
        <v>20489.573238387238</v>
      </c>
      <c r="N45" s="36">
        <f t="shared" si="10"/>
        <v>4919.9602663040905</v>
      </c>
      <c r="O45" s="36">
        <f t="shared" si="11"/>
        <v>50024.110970758695</v>
      </c>
      <c r="P45" s="29"/>
      <c r="Q45" s="36">
        <f t="shared" si="12"/>
        <v>9859.1295075191665</v>
      </c>
      <c r="S45" s="28"/>
      <c r="T45" s="28"/>
    </row>
    <row r="46" spans="1:20" s="42" customFormat="1" x14ac:dyDescent="0.25">
      <c r="A46" s="4">
        <v>43132</v>
      </c>
      <c r="B46" s="39"/>
      <c r="C46" s="36">
        <f t="shared" si="2"/>
        <v>5876592.9799999995</v>
      </c>
      <c r="D46" s="36">
        <f t="shared" si="3"/>
        <v>3939708.7223999999</v>
      </c>
      <c r="E46" s="36">
        <f t="shared" si="4"/>
        <v>1936884.2575999999</v>
      </c>
      <c r="F46" s="34">
        <f>15000+9427.01</f>
        <v>24427.010000000002</v>
      </c>
      <c r="H46" s="36">
        <f t="shared" si="5"/>
        <v>1569049.0140800001</v>
      </c>
      <c r="I46" s="36">
        <f t="shared" si="6"/>
        <v>98065.563380000007</v>
      </c>
      <c r="J46" s="36">
        <f t="shared" si="7"/>
        <v>98065.563380000007</v>
      </c>
      <c r="K46" s="28"/>
      <c r="L46" s="36">
        <f t="shared" si="8"/>
        <v>105262.33787638388</v>
      </c>
      <c r="M46" s="36">
        <f t="shared" si="9"/>
        <v>21829.079041164354</v>
      </c>
      <c r="N46" s="36">
        <f t="shared" si="10"/>
        <v>5241.6026572642004</v>
      </c>
      <c r="O46" s="36">
        <f t="shared" si="11"/>
        <v>53294.43710905809</v>
      </c>
      <c r="Q46" s="36">
        <f t="shared" si="12"/>
        <v>10503.670076129491</v>
      </c>
      <c r="S46" s="28"/>
      <c r="T46" s="28"/>
    </row>
    <row r="47" spans="1:20" s="42" customFormat="1" x14ac:dyDescent="0.25">
      <c r="A47" s="4">
        <v>43160</v>
      </c>
      <c r="B47" s="39"/>
      <c r="C47" s="36">
        <f t="shared" si="2"/>
        <v>7405709.4999999991</v>
      </c>
      <c r="D47" s="36">
        <f t="shared" si="3"/>
        <v>4968687.5774999997</v>
      </c>
      <c r="E47" s="36">
        <f t="shared" si="4"/>
        <v>2437021.9224999994</v>
      </c>
      <c r="F47" s="26">
        <f>16483.13+5698</f>
        <v>22181.13</v>
      </c>
      <c r="H47" s="36">
        <f t="shared" si="5"/>
        <v>1967362.4419999998</v>
      </c>
      <c r="I47" s="36">
        <f t="shared" si="6"/>
        <v>122960.15262499999</v>
      </c>
      <c r="J47" s="36">
        <f t="shared" si="7"/>
        <v>122960.15262499999</v>
      </c>
      <c r="K47" s="28"/>
      <c r="L47" s="36">
        <f t="shared" si="8"/>
        <v>131983.8757341413</v>
      </c>
      <c r="M47" s="36">
        <f t="shared" si="9"/>
        <v>27370.534549054228</v>
      </c>
      <c r="N47" s="36">
        <f t="shared" si="10"/>
        <v>6572.2180194832381</v>
      </c>
      <c r="O47" s="36">
        <f t="shared" si="11"/>
        <v>66823.581032214992</v>
      </c>
      <c r="Q47" s="36">
        <f t="shared" si="12"/>
        <v>13170.095915106212</v>
      </c>
      <c r="S47" s="28"/>
      <c r="T47" s="28"/>
    </row>
    <row r="48" spans="1:20" s="42" customFormat="1" ht="15.75" thickBot="1" x14ac:dyDescent="0.3">
      <c r="A48" s="4" t="s">
        <v>28</v>
      </c>
      <c r="B48" s="39"/>
      <c r="C48" s="51">
        <f>SUM(C36:C47)</f>
        <v>70379471.588999987</v>
      </c>
      <c r="D48" s="51">
        <f t="shared" ref="D48:F48" si="13">SUM(D36:D47)</f>
        <v>47083250.235870004</v>
      </c>
      <c r="E48" s="51">
        <f t="shared" si="13"/>
        <v>23296221.353129994</v>
      </c>
      <c r="F48" s="51">
        <f t="shared" si="13"/>
        <v>72376.510000000009</v>
      </c>
      <c r="G48" s="36"/>
      <c r="H48" s="51">
        <f>SUM(H36:H47)</f>
        <v>18694878.290504001</v>
      </c>
      <c r="I48" s="51">
        <f t="shared" ref="I48:Q48" si="14">SUM(I36:I47)</f>
        <v>1168429.8931565001</v>
      </c>
      <c r="J48" s="51">
        <f t="shared" si="14"/>
        <v>1168429.8931565001</v>
      </c>
      <c r="K48" s="51"/>
      <c r="L48" s="51">
        <f t="shared" si="14"/>
        <v>1254177.8985322199</v>
      </c>
      <c r="M48" s="51">
        <f t="shared" si="14"/>
        <v>260088.7366846478</v>
      </c>
      <c r="N48" s="51">
        <f t="shared" si="14"/>
        <v>62452.557469782376</v>
      </c>
      <c r="O48" s="51">
        <f t="shared" si="14"/>
        <v>634991.64549614349</v>
      </c>
      <c r="P48" s="51"/>
      <c r="Q48" s="51">
        <f t="shared" si="14"/>
        <v>125148.94813020658</v>
      </c>
      <c r="S48" s="28"/>
      <c r="T48" s="28"/>
    </row>
    <row r="49" spans="1:18" s="42" customFormat="1" ht="15.75" thickTop="1" x14ac:dyDescent="0.25">
      <c r="A49" s="39"/>
      <c r="B49" s="39"/>
      <c r="C49" s="36"/>
      <c r="D49" s="40"/>
      <c r="E49" s="40"/>
      <c r="F49" s="40"/>
      <c r="G49" s="40"/>
      <c r="H49" s="40"/>
      <c r="I49" s="40"/>
      <c r="L49" s="40"/>
      <c r="M49" s="40"/>
      <c r="N49" s="40"/>
      <c r="O49" s="40"/>
      <c r="Q49" s="40"/>
    </row>
    <row r="50" spans="1:18" s="42" customFormat="1" x14ac:dyDescent="0.25">
      <c r="A50" s="39"/>
      <c r="B50" s="39"/>
      <c r="C50" s="40"/>
      <c r="D50" s="40">
        <f>D48/$C$48</f>
        <v>0.66899124379372177</v>
      </c>
      <c r="E50" s="40">
        <f>E48/$C$48</f>
        <v>0.3310087562062784</v>
      </c>
      <c r="F50" s="40"/>
      <c r="G50" s="40"/>
      <c r="H50" s="40">
        <f>H48/($E$48+F48)</f>
        <v>0.80000000000000016</v>
      </c>
      <c r="I50" s="40">
        <f>I48/($E$48+F48)</f>
        <v>5.000000000000001E-2</v>
      </c>
      <c r="J50" s="40">
        <f>J48/($E$48+F48)</f>
        <v>5.000000000000001E-2</v>
      </c>
      <c r="L50" s="40">
        <f>L48/($E$48+F48)</f>
        <v>5.3669368863204663E-2</v>
      </c>
      <c r="M50" s="40">
        <f>M48/($E$48+F48)</f>
        <v>1.1129839205928782E-2</v>
      </c>
      <c r="N50" s="40">
        <f>N48/($E$48+F48)</f>
        <v>2.6724991304813129E-3</v>
      </c>
      <c r="O50" s="40">
        <f>O48/($E$48+F48)</f>
        <v>2.717286031516709E-2</v>
      </c>
      <c r="Q50" s="40">
        <f>Q48/($E$48+F48)</f>
        <v>5.3554324852181827E-3</v>
      </c>
    </row>
    <row r="51" spans="1:18" s="42" customFormat="1" x14ac:dyDescent="0.25">
      <c r="A51" s="39"/>
      <c r="B51" s="39"/>
      <c r="C51" s="40"/>
      <c r="D51" s="40"/>
      <c r="H51" s="40"/>
      <c r="I51" s="40"/>
      <c r="J51" s="40"/>
      <c r="K51" s="40"/>
      <c r="L51" s="40"/>
      <c r="M51" s="40"/>
      <c r="N51" s="40"/>
      <c r="O51" s="40"/>
      <c r="P51" s="40"/>
      <c r="Q51" s="40"/>
      <c r="R51" s="40"/>
    </row>
    <row r="52" spans="1:18" s="42" customFormat="1" x14ac:dyDescent="0.25">
      <c r="A52" s="52" t="s">
        <v>53</v>
      </c>
      <c r="B52" s="39"/>
      <c r="C52" s="40"/>
      <c r="D52" s="40"/>
      <c r="H52" s="40"/>
      <c r="I52" s="40"/>
      <c r="J52" s="40"/>
      <c r="K52" s="40"/>
      <c r="L52" s="40"/>
      <c r="M52" s="40"/>
      <c r="N52" s="40"/>
      <c r="O52" s="40"/>
      <c r="P52" s="40"/>
      <c r="Q52" s="40"/>
      <c r="R52" s="40"/>
    </row>
    <row r="53" spans="1:18" s="42" customFormat="1" x14ac:dyDescent="0.25">
      <c r="A53" s="53" t="s">
        <v>54</v>
      </c>
      <c r="B53" s="39"/>
      <c r="C53" s="40"/>
      <c r="D53" s="40"/>
      <c r="H53" s="40"/>
      <c r="I53" s="40"/>
      <c r="J53" s="40"/>
      <c r="K53" s="40"/>
      <c r="L53" s="40"/>
      <c r="M53" s="40"/>
      <c r="N53" s="40"/>
      <c r="O53" s="40"/>
      <c r="P53" s="40"/>
      <c r="Q53" s="40"/>
      <c r="R53" s="40"/>
    </row>
    <row r="54" spans="1:18" s="42" customFormat="1" x14ac:dyDescent="0.25">
      <c r="A54" s="53" t="s">
        <v>55</v>
      </c>
      <c r="B54" s="39"/>
      <c r="C54" s="40"/>
      <c r="D54" s="40"/>
      <c r="H54" s="40"/>
      <c r="I54" s="40"/>
      <c r="J54" s="40"/>
      <c r="K54" s="40"/>
      <c r="L54" s="40"/>
      <c r="M54" s="40"/>
      <c r="N54" s="40"/>
      <c r="O54" s="40"/>
      <c r="P54" s="40"/>
      <c r="Q54" s="40"/>
      <c r="R54" s="40"/>
    </row>
    <row r="55" spans="1:18" s="42" customFormat="1" x14ac:dyDescent="0.25">
      <c r="A55" s="53" t="s">
        <v>56</v>
      </c>
      <c r="B55" s="39"/>
      <c r="C55" s="40"/>
      <c r="D55" s="40"/>
      <c r="H55" s="40"/>
      <c r="I55" s="40"/>
      <c r="J55" s="40"/>
      <c r="K55" s="40"/>
      <c r="L55" s="40"/>
      <c r="M55" s="40"/>
      <c r="N55" s="40"/>
      <c r="O55" s="40"/>
      <c r="P55" s="40"/>
      <c r="Q55" s="40"/>
      <c r="R55" s="40"/>
    </row>
    <row r="56" spans="1:18" s="42" customFormat="1" x14ac:dyDescent="0.25">
      <c r="A56" s="53"/>
      <c r="B56" s="39"/>
      <c r="C56" s="40"/>
      <c r="D56" s="40"/>
      <c r="H56" s="40"/>
      <c r="I56" s="40"/>
      <c r="J56" s="40"/>
      <c r="K56" s="40"/>
      <c r="L56" s="40"/>
      <c r="M56" s="40"/>
      <c r="N56" s="40"/>
      <c r="O56" s="40"/>
      <c r="P56" s="40"/>
      <c r="Q56" s="40"/>
      <c r="R56" s="40"/>
    </row>
    <row r="57" spans="1:18" s="42" customFormat="1" x14ac:dyDescent="0.25">
      <c r="A57" s="53" t="s">
        <v>57</v>
      </c>
      <c r="B57" s="39"/>
      <c r="C57" s="40"/>
      <c r="D57" s="54"/>
      <c r="H57" s="40"/>
      <c r="I57" s="40"/>
      <c r="J57" s="40"/>
      <c r="K57" s="40"/>
      <c r="L57" s="40"/>
      <c r="M57" s="40"/>
      <c r="N57" s="40"/>
      <c r="O57" s="40"/>
      <c r="P57" s="40"/>
      <c r="Q57" s="40"/>
      <c r="R57" s="40"/>
    </row>
    <row r="59" spans="1:18" s="42" customFormat="1" x14ac:dyDescent="0.25">
      <c r="A59" s="53" t="s">
        <v>64</v>
      </c>
      <c r="B59" s="39"/>
      <c r="C59" s="40"/>
      <c r="D59" s="54"/>
      <c r="H59" s="40"/>
      <c r="I59" s="40"/>
      <c r="J59" s="40"/>
      <c r="K59" s="40"/>
      <c r="L59" s="40"/>
      <c r="M59" s="40"/>
      <c r="N59" s="40"/>
      <c r="O59" s="40"/>
      <c r="P59" s="40"/>
      <c r="Q59" s="40"/>
      <c r="R59" s="40"/>
    </row>
    <row r="60" spans="1:18" s="42" customFormat="1" x14ac:dyDescent="0.25">
      <c r="A60" s="53" t="s">
        <v>65</v>
      </c>
      <c r="B60" s="39"/>
      <c r="C60" s="40"/>
      <c r="D60" s="54"/>
      <c r="H60" s="40"/>
      <c r="I60" s="40"/>
      <c r="J60" s="40"/>
      <c r="K60" s="40"/>
      <c r="L60" s="40"/>
      <c r="M60" s="40"/>
      <c r="N60" s="40"/>
      <c r="O60" s="40"/>
      <c r="P60" s="40"/>
      <c r="Q60" s="40"/>
      <c r="R60" s="40"/>
    </row>
    <row r="62" spans="1:18" x14ac:dyDescent="0.25">
      <c r="A62" s="53" t="s">
        <v>60</v>
      </c>
    </row>
    <row r="63" spans="1:18" x14ac:dyDescent="0.25">
      <c r="A63" s="53"/>
      <c r="B63" s="55"/>
      <c r="C63" s="56"/>
      <c r="D63" s="56"/>
      <c r="E63" s="56"/>
      <c r="F63" s="56"/>
      <c r="G63" s="56"/>
      <c r="H63" s="56"/>
      <c r="I63" s="57"/>
      <c r="J63" s="56"/>
      <c r="K63" s="56"/>
      <c r="L63" s="56"/>
      <c r="M63" s="56"/>
      <c r="N63" s="56"/>
      <c r="O63" s="56"/>
    </row>
    <row r="64" spans="1:18" x14ac:dyDescent="0.25">
      <c r="A64" s="53"/>
    </row>
    <row r="66" spans="4:4" x14ac:dyDescent="0.25">
      <c r="D66" s="58"/>
    </row>
  </sheetData>
  <mergeCells count="12">
    <mergeCell ref="L34:Q34"/>
    <mergeCell ref="A1:T1"/>
    <mergeCell ref="A2:T2"/>
    <mergeCell ref="A3:T3"/>
    <mergeCell ref="A4:T4"/>
    <mergeCell ref="A5:T5"/>
    <mergeCell ref="A8:T8"/>
    <mergeCell ref="C10:J10"/>
    <mergeCell ref="L10:O10"/>
    <mergeCell ref="Q10:R10"/>
    <mergeCell ref="A30:T30"/>
    <mergeCell ref="H32:Q32"/>
  </mergeCells>
  <hyperlinks>
    <hyperlink ref="A4" r:id="rId1" xr:uid="{00000000-0004-0000-0200-000000000000}"/>
  </hyperlinks>
  <printOptions horizontalCentered="1" verticalCentered="1"/>
  <pageMargins left="0" right="0" top="0.25" bottom="0.25" header="0.3" footer="0.3"/>
  <pageSetup scale="65"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57"/>
  <sheetViews>
    <sheetView topLeftCell="A16" workbookViewId="0">
      <selection activeCell="J26" sqref="J26"/>
    </sheetView>
  </sheetViews>
  <sheetFormatPr defaultRowHeight="15" x14ac:dyDescent="0.25"/>
  <cols>
    <col min="1" max="1" width="9.28515625" style="4" customWidth="1"/>
    <col min="2" max="2" width="1.7109375" style="4" customWidth="1"/>
    <col min="3" max="3" width="12.85546875" style="28" bestFit="1" customWidth="1"/>
    <col min="4" max="4" width="12" style="28" customWidth="1"/>
    <col min="5" max="5" width="12.85546875" style="28" bestFit="1" customWidth="1"/>
    <col min="6" max="6" width="12.5703125" style="28" customWidth="1"/>
    <col min="7" max="7" width="14.28515625" style="28" bestFit="1" customWidth="1"/>
    <col min="8" max="8" width="10.7109375" style="37" customWidth="1"/>
    <col min="9" max="9" width="10.5703125" style="28" customWidth="1"/>
    <col min="10" max="10" width="1.140625" style="28" customWidth="1"/>
    <col min="11" max="11" width="11.28515625" style="28" customWidth="1"/>
    <col min="12" max="12" width="12.7109375" style="28" customWidth="1"/>
    <col min="13" max="13" width="11.5703125" style="28" customWidth="1"/>
    <col min="14" max="14" width="12.42578125" style="28" customWidth="1"/>
    <col min="15" max="15" width="1.5703125" style="28" customWidth="1"/>
    <col min="16" max="16" width="11.42578125" style="28" customWidth="1"/>
    <col min="17" max="17" width="12.140625" style="28" customWidth="1"/>
    <col min="18" max="18" width="1.7109375" style="1" customWidth="1"/>
    <col min="19" max="19" width="14.28515625" style="1" bestFit="1" customWidth="1"/>
    <col min="20" max="20" width="9.85546875" style="1" bestFit="1" customWidth="1"/>
    <col min="21" max="256" width="8.85546875" style="1"/>
    <col min="257" max="257" width="9.28515625" style="1" customWidth="1"/>
    <col min="258" max="258" width="1.7109375" style="1" customWidth="1"/>
    <col min="259" max="262" width="12" style="1" customWidth="1"/>
    <col min="263" max="263" width="11.85546875" style="1" customWidth="1"/>
    <col min="264" max="264" width="10.7109375" style="1" customWidth="1"/>
    <col min="265" max="265" width="10.5703125" style="1" customWidth="1"/>
    <col min="266" max="266" width="1.140625" style="1" customWidth="1"/>
    <col min="267" max="267" width="11.28515625" style="1" customWidth="1"/>
    <col min="268" max="268" width="12.7109375" style="1" customWidth="1"/>
    <col min="269" max="269" width="11.5703125" style="1" customWidth="1"/>
    <col min="270" max="270" width="12.42578125" style="1" customWidth="1"/>
    <col min="271" max="271" width="1.5703125" style="1" customWidth="1"/>
    <col min="272" max="272" width="11.42578125" style="1" customWidth="1"/>
    <col min="273" max="273" width="12.140625" style="1" customWidth="1"/>
    <col min="274" max="274" width="1.7109375" style="1" customWidth="1"/>
    <col min="275" max="275" width="13.5703125" style="1" customWidth="1"/>
    <col min="276" max="512" width="8.85546875" style="1"/>
    <col min="513" max="513" width="9.28515625" style="1" customWidth="1"/>
    <col min="514" max="514" width="1.7109375" style="1" customWidth="1"/>
    <col min="515" max="518" width="12" style="1" customWidth="1"/>
    <col min="519" max="519" width="11.85546875" style="1" customWidth="1"/>
    <col min="520" max="520" width="10.7109375" style="1" customWidth="1"/>
    <col min="521" max="521" width="10.5703125" style="1" customWidth="1"/>
    <col min="522" max="522" width="1.140625" style="1" customWidth="1"/>
    <col min="523" max="523" width="11.28515625" style="1" customWidth="1"/>
    <col min="524" max="524" width="12.7109375" style="1" customWidth="1"/>
    <col min="525" max="525" width="11.5703125" style="1" customWidth="1"/>
    <col min="526" max="526" width="12.42578125" style="1" customWidth="1"/>
    <col min="527" max="527" width="1.5703125" style="1" customWidth="1"/>
    <col min="528" max="528" width="11.42578125" style="1" customWidth="1"/>
    <col min="529" max="529" width="12.140625" style="1" customWidth="1"/>
    <col min="530" max="530" width="1.7109375" style="1" customWidth="1"/>
    <col min="531" max="531" width="13.5703125" style="1" customWidth="1"/>
    <col min="532" max="768" width="8.85546875" style="1"/>
    <col min="769" max="769" width="9.28515625" style="1" customWidth="1"/>
    <col min="770" max="770" width="1.7109375" style="1" customWidth="1"/>
    <col min="771" max="774" width="12" style="1" customWidth="1"/>
    <col min="775" max="775" width="11.85546875" style="1" customWidth="1"/>
    <col min="776" max="776" width="10.7109375" style="1" customWidth="1"/>
    <col min="777" max="777" width="10.5703125" style="1" customWidth="1"/>
    <col min="778" max="778" width="1.140625" style="1" customWidth="1"/>
    <col min="779" max="779" width="11.28515625" style="1" customWidth="1"/>
    <col min="780" max="780" width="12.7109375" style="1" customWidth="1"/>
    <col min="781" max="781" width="11.5703125" style="1" customWidth="1"/>
    <col min="782" max="782" width="12.42578125" style="1" customWidth="1"/>
    <col min="783" max="783" width="1.5703125" style="1" customWidth="1"/>
    <col min="784" max="784" width="11.42578125" style="1" customWidth="1"/>
    <col min="785" max="785" width="12.140625" style="1" customWidth="1"/>
    <col min="786" max="786" width="1.7109375" style="1" customWidth="1"/>
    <col min="787" max="787" width="13.5703125" style="1" customWidth="1"/>
    <col min="788" max="1024" width="8.85546875" style="1"/>
    <col min="1025" max="1025" width="9.28515625" style="1" customWidth="1"/>
    <col min="1026" max="1026" width="1.7109375" style="1" customWidth="1"/>
    <col min="1027" max="1030" width="12" style="1" customWidth="1"/>
    <col min="1031" max="1031" width="11.85546875" style="1" customWidth="1"/>
    <col min="1032" max="1032" width="10.7109375" style="1" customWidth="1"/>
    <col min="1033" max="1033" width="10.5703125" style="1" customWidth="1"/>
    <col min="1034" max="1034" width="1.140625" style="1" customWidth="1"/>
    <col min="1035" max="1035" width="11.28515625" style="1" customWidth="1"/>
    <col min="1036" max="1036" width="12.7109375" style="1" customWidth="1"/>
    <col min="1037" max="1037" width="11.5703125" style="1" customWidth="1"/>
    <col min="1038" max="1038" width="12.42578125" style="1" customWidth="1"/>
    <col min="1039" max="1039" width="1.5703125" style="1" customWidth="1"/>
    <col min="1040" max="1040" width="11.42578125" style="1" customWidth="1"/>
    <col min="1041" max="1041" width="12.140625" style="1" customWidth="1"/>
    <col min="1042" max="1042" width="1.7109375" style="1" customWidth="1"/>
    <col min="1043" max="1043" width="13.5703125" style="1" customWidth="1"/>
    <col min="1044" max="1280" width="8.85546875" style="1"/>
    <col min="1281" max="1281" width="9.28515625" style="1" customWidth="1"/>
    <col min="1282" max="1282" width="1.7109375" style="1" customWidth="1"/>
    <col min="1283" max="1286" width="12" style="1" customWidth="1"/>
    <col min="1287" max="1287" width="11.85546875" style="1" customWidth="1"/>
    <col min="1288" max="1288" width="10.7109375" style="1" customWidth="1"/>
    <col min="1289" max="1289" width="10.5703125" style="1" customWidth="1"/>
    <col min="1290" max="1290" width="1.140625" style="1" customWidth="1"/>
    <col min="1291" max="1291" width="11.28515625" style="1" customWidth="1"/>
    <col min="1292" max="1292" width="12.7109375" style="1" customWidth="1"/>
    <col min="1293" max="1293" width="11.5703125" style="1" customWidth="1"/>
    <col min="1294" max="1294" width="12.42578125" style="1" customWidth="1"/>
    <col min="1295" max="1295" width="1.5703125" style="1" customWidth="1"/>
    <col min="1296" max="1296" width="11.42578125" style="1" customWidth="1"/>
    <col min="1297" max="1297" width="12.140625" style="1" customWidth="1"/>
    <col min="1298" max="1298" width="1.7109375" style="1" customWidth="1"/>
    <col min="1299" max="1299" width="13.5703125" style="1" customWidth="1"/>
    <col min="1300" max="1536" width="8.85546875" style="1"/>
    <col min="1537" max="1537" width="9.28515625" style="1" customWidth="1"/>
    <col min="1538" max="1538" width="1.7109375" style="1" customWidth="1"/>
    <col min="1539" max="1542" width="12" style="1" customWidth="1"/>
    <col min="1543" max="1543" width="11.85546875" style="1" customWidth="1"/>
    <col min="1544" max="1544" width="10.7109375" style="1" customWidth="1"/>
    <col min="1545" max="1545" width="10.5703125" style="1" customWidth="1"/>
    <col min="1546" max="1546" width="1.140625" style="1" customWidth="1"/>
    <col min="1547" max="1547" width="11.28515625" style="1" customWidth="1"/>
    <col min="1548" max="1548" width="12.7109375" style="1" customWidth="1"/>
    <col min="1549" max="1549" width="11.5703125" style="1" customWidth="1"/>
    <col min="1550" max="1550" width="12.42578125" style="1" customWidth="1"/>
    <col min="1551" max="1551" width="1.5703125" style="1" customWidth="1"/>
    <col min="1552" max="1552" width="11.42578125" style="1" customWidth="1"/>
    <col min="1553" max="1553" width="12.140625" style="1" customWidth="1"/>
    <col min="1554" max="1554" width="1.7109375" style="1" customWidth="1"/>
    <col min="1555" max="1555" width="13.5703125" style="1" customWidth="1"/>
    <col min="1556" max="1792" width="8.85546875" style="1"/>
    <col min="1793" max="1793" width="9.28515625" style="1" customWidth="1"/>
    <col min="1794" max="1794" width="1.7109375" style="1" customWidth="1"/>
    <col min="1795" max="1798" width="12" style="1" customWidth="1"/>
    <col min="1799" max="1799" width="11.85546875" style="1" customWidth="1"/>
    <col min="1800" max="1800" width="10.7109375" style="1" customWidth="1"/>
    <col min="1801" max="1801" width="10.5703125" style="1" customWidth="1"/>
    <col min="1802" max="1802" width="1.140625" style="1" customWidth="1"/>
    <col min="1803" max="1803" width="11.28515625" style="1" customWidth="1"/>
    <col min="1804" max="1804" width="12.7109375" style="1" customWidth="1"/>
    <col min="1805" max="1805" width="11.5703125" style="1" customWidth="1"/>
    <col min="1806" max="1806" width="12.42578125" style="1" customWidth="1"/>
    <col min="1807" max="1807" width="1.5703125" style="1" customWidth="1"/>
    <col min="1808" max="1808" width="11.42578125" style="1" customWidth="1"/>
    <col min="1809" max="1809" width="12.140625" style="1" customWidth="1"/>
    <col min="1810" max="1810" width="1.7109375" style="1" customWidth="1"/>
    <col min="1811" max="1811" width="13.5703125" style="1" customWidth="1"/>
    <col min="1812" max="2048" width="8.85546875" style="1"/>
    <col min="2049" max="2049" width="9.28515625" style="1" customWidth="1"/>
    <col min="2050" max="2050" width="1.7109375" style="1" customWidth="1"/>
    <col min="2051" max="2054" width="12" style="1" customWidth="1"/>
    <col min="2055" max="2055" width="11.85546875" style="1" customWidth="1"/>
    <col min="2056" max="2056" width="10.7109375" style="1" customWidth="1"/>
    <col min="2057" max="2057" width="10.5703125" style="1" customWidth="1"/>
    <col min="2058" max="2058" width="1.140625" style="1" customWidth="1"/>
    <col min="2059" max="2059" width="11.28515625" style="1" customWidth="1"/>
    <col min="2060" max="2060" width="12.7109375" style="1" customWidth="1"/>
    <col min="2061" max="2061" width="11.5703125" style="1" customWidth="1"/>
    <col min="2062" max="2062" width="12.42578125" style="1" customWidth="1"/>
    <col min="2063" max="2063" width="1.5703125" style="1" customWidth="1"/>
    <col min="2064" max="2064" width="11.42578125" style="1" customWidth="1"/>
    <col min="2065" max="2065" width="12.140625" style="1" customWidth="1"/>
    <col min="2066" max="2066" width="1.7109375" style="1" customWidth="1"/>
    <col min="2067" max="2067" width="13.5703125" style="1" customWidth="1"/>
    <col min="2068" max="2304" width="8.85546875" style="1"/>
    <col min="2305" max="2305" width="9.28515625" style="1" customWidth="1"/>
    <col min="2306" max="2306" width="1.7109375" style="1" customWidth="1"/>
    <col min="2307" max="2310" width="12" style="1" customWidth="1"/>
    <col min="2311" max="2311" width="11.85546875" style="1" customWidth="1"/>
    <col min="2312" max="2312" width="10.7109375" style="1" customWidth="1"/>
    <col min="2313" max="2313" width="10.5703125" style="1" customWidth="1"/>
    <col min="2314" max="2314" width="1.140625" style="1" customWidth="1"/>
    <col min="2315" max="2315" width="11.28515625" style="1" customWidth="1"/>
    <col min="2316" max="2316" width="12.7109375" style="1" customWidth="1"/>
    <col min="2317" max="2317" width="11.5703125" style="1" customWidth="1"/>
    <col min="2318" max="2318" width="12.42578125" style="1" customWidth="1"/>
    <col min="2319" max="2319" width="1.5703125" style="1" customWidth="1"/>
    <col min="2320" max="2320" width="11.42578125" style="1" customWidth="1"/>
    <col min="2321" max="2321" width="12.140625" style="1" customWidth="1"/>
    <col min="2322" max="2322" width="1.7109375" style="1" customWidth="1"/>
    <col min="2323" max="2323" width="13.5703125" style="1" customWidth="1"/>
    <col min="2324" max="2560" width="8.85546875" style="1"/>
    <col min="2561" max="2561" width="9.28515625" style="1" customWidth="1"/>
    <col min="2562" max="2562" width="1.7109375" style="1" customWidth="1"/>
    <col min="2563" max="2566" width="12" style="1" customWidth="1"/>
    <col min="2567" max="2567" width="11.85546875" style="1" customWidth="1"/>
    <col min="2568" max="2568" width="10.7109375" style="1" customWidth="1"/>
    <col min="2569" max="2569" width="10.5703125" style="1" customWidth="1"/>
    <col min="2570" max="2570" width="1.140625" style="1" customWidth="1"/>
    <col min="2571" max="2571" width="11.28515625" style="1" customWidth="1"/>
    <col min="2572" max="2572" width="12.7109375" style="1" customWidth="1"/>
    <col min="2573" max="2573" width="11.5703125" style="1" customWidth="1"/>
    <col min="2574" max="2574" width="12.42578125" style="1" customWidth="1"/>
    <col min="2575" max="2575" width="1.5703125" style="1" customWidth="1"/>
    <col min="2576" max="2576" width="11.42578125" style="1" customWidth="1"/>
    <col min="2577" max="2577" width="12.140625" style="1" customWidth="1"/>
    <col min="2578" max="2578" width="1.7109375" style="1" customWidth="1"/>
    <col min="2579" max="2579" width="13.5703125" style="1" customWidth="1"/>
    <col min="2580" max="2816" width="8.85546875" style="1"/>
    <col min="2817" max="2817" width="9.28515625" style="1" customWidth="1"/>
    <col min="2818" max="2818" width="1.7109375" style="1" customWidth="1"/>
    <col min="2819" max="2822" width="12" style="1" customWidth="1"/>
    <col min="2823" max="2823" width="11.85546875" style="1" customWidth="1"/>
    <col min="2824" max="2824" width="10.7109375" style="1" customWidth="1"/>
    <col min="2825" max="2825" width="10.5703125" style="1" customWidth="1"/>
    <col min="2826" max="2826" width="1.140625" style="1" customWidth="1"/>
    <col min="2827" max="2827" width="11.28515625" style="1" customWidth="1"/>
    <col min="2828" max="2828" width="12.7109375" style="1" customWidth="1"/>
    <col min="2829" max="2829" width="11.5703125" style="1" customWidth="1"/>
    <col min="2830" max="2830" width="12.42578125" style="1" customWidth="1"/>
    <col min="2831" max="2831" width="1.5703125" style="1" customWidth="1"/>
    <col min="2832" max="2832" width="11.42578125" style="1" customWidth="1"/>
    <col min="2833" max="2833" width="12.140625" style="1" customWidth="1"/>
    <col min="2834" max="2834" width="1.7109375" style="1" customWidth="1"/>
    <col min="2835" max="2835" width="13.5703125" style="1" customWidth="1"/>
    <col min="2836" max="3072" width="8.85546875" style="1"/>
    <col min="3073" max="3073" width="9.28515625" style="1" customWidth="1"/>
    <col min="3074" max="3074" width="1.7109375" style="1" customWidth="1"/>
    <col min="3075" max="3078" width="12" style="1" customWidth="1"/>
    <col min="3079" max="3079" width="11.85546875" style="1" customWidth="1"/>
    <col min="3080" max="3080" width="10.7109375" style="1" customWidth="1"/>
    <col min="3081" max="3081" width="10.5703125" style="1" customWidth="1"/>
    <col min="3082" max="3082" width="1.140625" style="1" customWidth="1"/>
    <col min="3083" max="3083" width="11.28515625" style="1" customWidth="1"/>
    <col min="3084" max="3084" width="12.7109375" style="1" customWidth="1"/>
    <col min="3085" max="3085" width="11.5703125" style="1" customWidth="1"/>
    <col min="3086" max="3086" width="12.42578125" style="1" customWidth="1"/>
    <col min="3087" max="3087" width="1.5703125" style="1" customWidth="1"/>
    <col min="3088" max="3088" width="11.42578125" style="1" customWidth="1"/>
    <col min="3089" max="3089" width="12.140625" style="1" customWidth="1"/>
    <col min="3090" max="3090" width="1.7109375" style="1" customWidth="1"/>
    <col min="3091" max="3091" width="13.5703125" style="1" customWidth="1"/>
    <col min="3092" max="3328" width="8.85546875" style="1"/>
    <col min="3329" max="3329" width="9.28515625" style="1" customWidth="1"/>
    <col min="3330" max="3330" width="1.7109375" style="1" customWidth="1"/>
    <col min="3331" max="3334" width="12" style="1" customWidth="1"/>
    <col min="3335" max="3335" width="11.85546875" style="1" customWidth="1"/>
    <col min="3336" max="3336" width="10.7109375" style="1" customWidth="1"/>
    <col min="3337" max="3337" width="10.5703125" style="1" customWidth="1"/>
    <col min="3338" max="3338" width="1.140625" style="1" customWidth="1"/>
    <col min="3339" max="3339" width="11.28515625" style="1" customWidth="1"/>
    <col min="3340" max="3340" width="12.7109375" style="1" customWidth="1"/>
    <col min="3341" max="3341" width="11.5703125" style="1" customWidth="1"/>
    <col min="3342" max="3342" width="12.42578125" style="1" customWidth="1"/>
    <col min="3343" max="3343" width="1.5703125" style="1" customWidth="1"/>
    <col min="3344" max="3344" width="11.42578125" style="1" customWidth="1"/>
    <col min="3345" max="3345" width="12.140625" style="1" customWidth="1"/>
    <col min="3346" max="3346" width="1.7109375" style="1" customWidth="1"/>
    <col min="3347" max="3347" width="13.5703125" style="1" customWidth="1"/>
    <col min="3348" max="3584" width="8.85546875" style="1"/>
    <col min="3585" max="3585" width="9.28515625" style="1" customWidth="1"/>
    <col min="3586" max="3586" width="1.7109375" style="1" customWidth="1"/>
    <col min="3587" max="3590" width="12" style="1" customWidth="1"/>
    <col min="3591" max="3591" width="11.85546875" style="1" customWidth="1"/>
    <col min="3592" max="3592" width="10.7109375" style="1" customWidth="1"/>
    <col min="3593" max="3593" width="10.5703125" style="1" customWidth="1"/>
    <col min="3594" max="3594" width="1.140625" style="1" customWidth="1"/>
    <col min="3595" max="3595" width="11.28515625" style="1" customWidth="1"/>
    <col min="3596" max="3596" width="12.7109375" style="1" customWidth="1"/>
    <col min="3597" max="3597" width="11.5703125" style="1" customWidth="1"/>
    <col min="3598" max="3598" width="12.42578125" style="1" customWidth="1"/>
    <col min="3599" max="3599" width="1.5703125" style="1" customWidth="1"/>
    <col min="3600" max="3600" width="11.42578125" style="1" customWidth="1"/>
    <col min="3601" max="3601" width="12.140625" style="1" customWidth="1"/>
    <col min="3602" max="3602" width="1.7109375" style="1" customWidth="1"/>
    <col min="3603" max="3603" width="13.5703125" style="1" customWidth="1"/>
    <col min="3604" max="3840" width="8.85546875" style="1"/>
    <col min="3841" max="3841" width="9.28515625" style="1" customWidth="1"/>
    <col min="3842" max="3842" width="1.7109375" style="1" customWidth="1"/>
    <col min="3843" max="3846" width="12" style="1" customWidth="1"/>
    <col min="3847" max="3847" width="11.85546875" style="1" customWidth="1"/>
    <col min="3848" max="3848" width="10.7109375" style="1" customWidth="1"/>
    <col min="3849" max="3849" width="10.5703125" style="1" customWidth="1"/>
    <col min="3850" max="3850" width="1.140625" style="1" customWidth="1"/>
    <col min="3851" max="3851" width="11.28515625" style="1" customWidth="1"/>
    <col min="3852" max="3852" width="12.7109375" style="1" customWidth="1"/>
    <col min="3853" max="3853" width="11.5703125" style="1" customWidth="1"/>
    <col min="3854" max="3854" width="12.42578125" style="1" customWidth="1"/>
    <col min="3855" max="3855" width="1.5703125" style="1" customWidth="1"/>
    <col min="3856" max="3856" width="11.42578125" style="1" customWidth="1"/>
    <col min="3857" max="3857" width="12.140625" style="1" customWidth="1"/>
    <col min="3858" max="3858" width="1.7109375" style="1" customWidth="1"/>
    <col min="3859" max="3859" width="13.5703125" style="1" customWidth="1"/>
    <col min="3860" max="4096" width="8.85546875" style="1"/>
    <col min="4097" max="4097" width="9.28515625" style="1" customWidth="1"/>
    <col min="4098" max="4098" width="1.7109375" style="1" customWidth="1"/>
    <col min="4099" max="4102" width="12" style="1" customWidth="1"/>
    <col min="4103" max="4103" width="11.85546875" style="1" customWidth="1"/>
    <col min="4104" max="4104" width="10.7109375" style="1" customWidth="1"/>
    <col min="4105" max="4105" width="10.5703125" style="1" customWidth="1"/>
    <col min="4106" max="4106" width="1.140625" style="1" customWidth="1"/>
    <col min="4107" max="4107" width="11.28515625" style="1" customWidth="1"/>
    <col min="4108" max="4108" width="12.7109375" style="1" customWidth="1"/>
    <col min="4109" max="4109" width="11.5703125" style="1" customWidth="1"/>
    <col min="4110" max="4110" width="12.42578125" style="1" customWidth="1"/>
    <col min="4111" max="4111" width="1.5703125" style="1" customWidth="1"/>
    <col min="4112" max="4112" width="11.42578125" style="1" customWidth="1"/>
    <col min="4113" max="4113" width="12.140625" style="1" customWidth="1"/>
    <col min="4114" max="4114" width="1.7109375" style="1" customWidth="1"/>
    <col min="4115" max="4115" width="13.5703125" style="1" customWidth="1"/>
    <col min="4116" max="4352" width="8.85546875" style="1"/>
    <col min="4353" max="4353" width="9.28515625" style="1" customWidth="1"/>
    <col min="4354" max="4354" width="1.7109375" style="1" customWidth="1"/>
    <col min="4355" max="4358" width="12" style="1" customWidth="1"/>
    <col min="4359" max="4359" width="11.85546875" style="1" customWidth="1"/>
    <col min="4360" max="4360" width="10.7109375" style="1" customWidth="1"/>
    <col min="4361" max="4361" width="10.5703125" style="1" customWidth="1"/>
    <col min="4362" max="4362" width="1.140625" style="1" customWidth="1"/>
    <col min="4363" max="4363" width="11.28515625" style="1" customWidth="1"/>
    <col min="4364" max="4364" width="12.7109375" style="1" customWidth="1"/>
    <col min="4365" max="4365" width="11.5703125" style="1" customWidth="1"/>
    <col min="4366" max="4366" width="12.42578125" style="1" customWidth="1"/>
    <col min="4367" max="4367" width="1.5703125" style="1" customWidth="1"/>
    <col min="4368" max="4368" width="11.42578125" style="1" customWidth="1"/>
    <col min="4369" max="4369" width="12.140625" style="1" customWidth="1"/>
    <col min="4370" max="4370" width="1.7109375" style="1" customWidth="1"/>
    <col min="4371" max="4371" width="13.5703125" style="1" customWidth="1"/>
    <col min="4372" max="4608" width="8.85546875" style="1"/>
    <col min="4609" max="4609" width="9.28515625" style="1" customWidth="1"/>
    <col min="4610" max="4610" width="1.7109375" style="1" customWidth="1"/>
    <col min="4611" max="4614" width="12" style="1" customWidth="1"/>
    <col min="4615" max="4615" width="11.85546875" style="1" customWidth="1"/>
    <col min="4616" max="4616" width="10.7109375" style="1" customWidth="1"/>
    <col min="4617" max="4617" width="10.5703125" style="1" customWidth="1"/>
    <col min="4618" max="4618" width="1.140625" style="1" customWidth="1"/>
    <col min="4619" max="4619" width="11.28515625" style="1" customWidth="1"/>
    <col min="4620" max="4620" width="12.7109375" style="1" customWidth="1"/>
    <col min="4621" max="4621" width="11.5703125" style="1" customWidth="1"/>
    <col min="4622" max="4622" width="12.42578125" style="1" customWidth="1"/>
    <col min="4623" max="4623" width="1.5703125" style="1" customWidth="1"/>
    <col min="4624" max="4624" width="11.42578125" style="1" customWidth="1"/>
    <col min="4625" max="4625" width="12.140625" style="1" customWidth="1"/>
    <col min="4626" max="4626" width="1.7109375" style="1" customWidth="1"/>
    <col min="4627" max="4627" width="13.5703125" style="1" customWidth="1"/>
    <col min="4628" max="4864" width="8.85546875" style="1"/>
    <col min="4865" max="4865" width="9.28515625" style="1" customWidth="1"/>
    <col min="4866" max="4866" width="1.7109375" style="1" customWidth="1"/>
    <col min="4867" max="4870" width="12" style="1" customWidth="1"/>
    <col min="4871" max="4871" width="11.85546875" style="1" customWidth="1"/>
    <col min="4872" max="4872" width="10.7109375" style="1" customWidth="1"/>
    <col min="4873" max="4873" width="10.5703125" style="1" customWidth="1"/>
    <col min="4874" max="4874" width="1.140625" style="1" customWidth="1"/>
    <col min="4875" max="4875" width="11.28515625" style="1" customWidth="1"/>
    <col min="4876" max="4876" width="12.7109375" style="1" customWidth="1"/>
    <col min="4877" max="4877" width="11.5703125" style="1" customWidth="1"/>
    <col min="4878" max="4878" width="12.42578125" style="1" customWidth="1"/>
    <col min="4879" max="4879" width="1.5703125" style="1" customWidth="1"/>
    <col min="4880" max="4880" width="11.42578125" style="1" customWidth="1"/>
    <col min="4881" max="4881" width="12.140625" style="1" customWidth="1"/>
    <col min="4882" max="4882" width="1.7109375" style="1" customWidth="1"/>
    <col min="4883" max="4883" width="13.5703125" style="1" customWidth="1"/>
    <col min="4884" max="5120" width="8.85546875" style="1"/>
    <col min="5121" max="5121" width="9.28515625" style="1" customWidth="1"/>
    <col min="5122" max="5122" width="1.7109375" style="1" customWidth="1"/>
    <col min="5123" max="5126" width="12" style="1" customWidth="1"/>
    <col min="5127" max="5127" width="11.85546875" style="1" customWidth="1"/>
    <col min="5128" max="5128" width="10.7109375" style="1" customWidth="1"/>
    <col min="5129" max="5129" width="10.5703125" style="1" customWidth="1"/>
    <col min="5130" max="5130" width="1.140625" style="1" customWidth="1"/>
    <col min="5131" max="5131" width="11.28515625" style="1" customWidth="1"/>
    <col min="5132" max="5132" width="12.7109375" style="1" customWidth="1"/>
    <col min="5133" max="5133" width="11.5703125" style="1" customWidth="1"/>
    <col min="5134" max="5134" width="12.42578125" style="1" customWidth="1"/>
    <col min="5135" max="5135" width="1.5703125" style="1" customWidth="1"/>
    <col min="5136" max="5136" width="11.42578125" style="1" customWidth="1"/>
    <col min="5137" max="5137" width="12.140625" style="1" customWidth="1"/>
    <col min="5138" max="5138" width="1.7109375" style="1" customWidth="1"/>
    <col min="5139" max="5139" width="13.5703125" style="1" customWidth="1"/>
    <col min="5140" max="5376" width="8.85546875" style="1"/>
    <col min="5377" max="5377" width="9.28515625" style="1" customWidth="1"/>
    <col min="5378" max="5378" width="1.7109375" style="1" customWidth="1"/>
    <col min="5379" max="5382" width="12" style="1" customWidth="1"/>
    <col min="5383" max="5383" width="11.85546875" style="1" customWidth="1"/>
    <col min="5384" max="5384" width="10.7109375" style="1" customWidth="1"/>
    <col min="5385" max="5385" width="10.5703125" style="1" customWidth="1"/>
    <col min="5386" max="5386" width="1.140625" style="1" customWidth="1"/>
    <col min="5387" max="5387" width="11.28515625" style="1" customWidth="1"/>
    <col min="5388" max="5388" width="12.7109375" style="1" customWidth="1"/>
    <col min="5389" max="5389" width="11.5703125" style="1" customWidth="1"/>
    <col min="5390" max="5390" width="12.42578125" style="1" customWidth="1"/>
    <col min="5391" max="5391" width="1.5703125" style="1" customWidth="1"/>
    <col min="5392" max="5392" width="11.42578125" style="1" customWidth="1"/>
    <col min="5393" max="5393" width="12.140625" style="1" customWidth="1"/>
    <col min="5394" max="5394" width="1.7109375" style="1" customWidth="1"/>
    <col min="5395" max="5395" width="13.5703125" style="1" customWidth="1"/>
    <col min="5396" max="5632" width="8.85546875" style="1"/>
    <col min="5633" max="5633" width="9.28515625" style="1" customWidth="1"/>
    <col min="5634" max="5634" width="1.7109375" style="1" customWidth="1"/>
    <col min="5635" max="5638" width="12" style="1" customWidth="1"/>
    <col min="5639" max="5639" width="11.85546875" style="1" customWidth="1"/>
    <col min="5640" max="5640" width="10.7109375" style="1" customWidth="1"/>
    <col min="5641" max="5641" width="10.5703125" style="1" customWidth="1"/>
    <col min="5642" max="5642" width="1.140625" style="1" customWidth="1"/>
    <col min="5643" max="5643" width="11.28515625" style="1" customWidth="1"/>
    <col min="5644" max="5644" width="12.7109375" style="1" customWidth="1"/>
    <col min="5645" max="5645" width="11.5703125" style="1" customWidth="1"/>
    <col min="5646" max="5646" width="12.42578125" style="1" customWidth="1"/>
    <col min="5647" max="5647" width="1.5703125" style="1" customWidth="1"/>
    <col min="5648" max="5648" width="11.42578125" style="1" customWidth="1"/>
    <col min="5649" max="5649" width="12.140625" style="1" customWidth="1"/>
    <col min="5650" max="5650" width="1.7109375" style="1" customWidth="1"/>
    <col min="5651" max="5651" width="13.5703125" style="1" customWidth="1"/>
    <col min="5652" max="5888" width="8.85546875" style="1"/>
    <col min="5889" max="5889" width="9.28515625" style="1" customWidth="1"/>
    <col min="5890" max="5890" width="1.7109375" style="1" customWidth="1"/>
    <col min="5891" max="5894" width="12" style="1" customWidth="1"/>
    <col min="5895" max="5895" width="11.85546875" style="1" customWidth="1"/>
    <col min="5896" max="5896" width="10.7109375" style="1" customWidth="1"/>
    <col min="5897" max="5897" width="10.5703125" style="1" customWidth="1"/>
    <col min="5898" max="5898" width="1.140625" style="1" customWidth="1"/>
    <col min="5899" max="5899" width="11.28515625" style="1" customWidth="1"/>
    <col min="5900" max="5900" width="12.7109375" style="1" customWidth="1"/>
    <col min="5901" max="5901" width="11.5703125" style="1" customWidth="1"/>
    <col min="5902" max="5902" width="12.42578125" style="1" customWidth="1"/>
    <col min="5903" max="5903" width="1.5703125" style="1" customWidth="1"/>
    <col min="5904" max="5904" width="11.42578125" style="1" customWidth="1"/>
    <col min="5905" max="5905" width="12.140625" style="1" customWidth="1"/>
    <col min="5906" max="5906" width="1.7109375" style="1" customWidth="1"/>
    <col min="5907" max="5907" width="13.5703125" style="1" customWidth="1"/>
    <col min="5908" max="6144" width="8.85546875" style="1"/>
    <col min="6145" max="6145" width="9.28515625" style="1" customWidth="1"/>
    <col min="6146" max="6146" width="1.7109375" style="1" customWidth="1"/>
    <col min="6147" max="6150" width="12" style="1" customWidth="1"/>
    <col min="6151" max="6151" width="11.85546875" style="1" customWidth="1"/>
    <col min="6152" max="6152" width="10.7109375" style="1" customWidth="1"/>
    <col min="6153" max="6153" width="10.5703125" style="1" customWidth="1"/>
    <col min="6154" max="6154" width="1.140625" style="1" customWidth="1"/>
    <col min="6155" max="6155" width="11.28515625" style="1" customWidth="1"/>
    <col min="6156" max="6156" width="12.7109375" style="1" customWidth="1"/>
    <col min="6157" max="6157" width="11.5703125" style="1" customWidth="1"/>
    <col min="6158" max="6158" width="12.42578125" style="1" customWidth="1"/>
    <col min="6159" max="6159" width="1.5703125" style="1" customWidth="1"/>
    <col min="6160" max="6160" width="11.42578125" style="1" customWidth="1"/>
    <col min="6161" max="6161" width="12.140625" style="1" customWidth="1"/>
    <col min="6162" max="6162" width="1.7109375" style="1" customWidth="1"/>
    <col min="6163" max="6163" width="13.5703125" style="1" customWidth="1"/>
    <col min="6164" max="6400" width="8.85546875" style="1"/>
    <col min="6401" max="6401" width="9.28515625" style="1" customWidth="1"/>
    <col min="6402" max="6402" width="1.7109375" style="1" customWidth="1"/>
    <col min="6403" max="6406" width="12" style="1" customWidth="1"/>
    <col min="6407" max="6407" width="11.85546875" style="1" customWidth="1"/>
    <col min="6408" max="6408" width="10.7109375" style="1" customWidth="1"/>
    <col min="6409" max="6409" width="10.5703125" style="1" customWidth="1"/>
    <col min="6410" max="6410" width="1.140625" style="1" customWidth="1"/>
    <col min="6411" max="6411" width="11.28515625" style="1" customWidth="1"/>
    <col min="6412" max="6412" width="12.7109375" style="1" customWidth="1"/>
    <col min="6413" max="6413" width="11.5703125" style="1" customWidth="1"/>
    <col min="6414" max="6414" width="12.42578125" style="1" customWidth="1"/>
    <col min="6415" max="6415" width="1.5703125" style="1" customWidth="1"/>
    <col min="6416" max="6416" width="11.42578125" style="1" customWidth="1"/>
    <col min="6417" max="6417" width="12.140625" style="1" customWidth="1"/>
    <col min="6418" max="6418" width="1.7109375" style="1" customWidth="1"/>
    <col min="6419" max="6419" width="13.5703125" style="1" customWidth="1"/>
    <col min="6420" max="6656" width="8.85546875" style="1"/>
    <col min="6657" max="6657" width="9.28515625" style="1" customWidth="1"/>
    <col min="6658" max="6658" width="1.7109375" style="1" customWidth="1"/>
    <col min="6659" max="6662" width="12" style="1" customWidth="1"/>
    <col min="6663" max="6663" width="11.85546875" style="1" customWidth="1"/>
    <col min="6664" max="6664" width="10.7109375" style="1" customWidth="1"/>
    <col min="6665" max="6665" width="10.5703125" style="1" customWidth="1"/>
    <col min="6666" max="6666" width="1.140625" style="1" customWidth="1"/>
    <col min="6667" max="6667" width="11.28515625" style="1" customWidth="1"/>
    <col min="6668" max="6668" width="12.7109375" style="1" customWidth="1"/>
    <col min="6669" max="6669" width="11.5703125" style="1" customWidth="1"/>
    <col min="6670" max="6670" width="12.42578125" style="1" customWidth="1"/>
    <col min="6671" max="6671" width="1.5703125" style="1" customWidth="1"/>
    <col min="6672" max="6672" width="11.42578125" style="1" customWidth="1"/>
    <col min="6673" max="6673" width="12.140625" style="1" customWidth="1"/>
    <col min="6674" max="6674" width="1.7109375" style="1" customWidth="1"/>
    <col min="6675" max="6675" width="13.5703125" style="1" customWidth="1"/>
    <col min="6676" max="6912" width="8.85546875" style="1"/>
    <col min="6913" max="6913" width="9.28515625" style="1" customWidth="1"/>
    <col min="6914" max="6914" width="1.7109375" style="1" customWidth="1"/>
    <col min="6915" max="6918" width="12" style="1" customWidth="1"/>
    <col min="6919" max="6919" width="11.85546875" style="1" customWidth="1"/>
    <col min="6920" max="6920" width="10.7109375" style="1" customWidth="1"/>
    <col min="6921" max="6921" width="10.5703125" style="1" customWidth="1"/>
    <col min="6922" max="6922" width="1.140625" style="1" customWidth="1"/>
    <col min="6923" max="6923" width="11.28515625" style="1" customWidth="1"/>
    <col min="6924" max="6924" width="12.7109375" style="1" customWidth="1"/>
    <col min="6925" max="6925" width="11.5703125" style="1" customWidth="1"/>
    <col min="6926" max="6926" width="12.42578125" style="1" customWidth="1"/>
    <col min="6927" max="6927" width="1.5703125" style="1" customWidth="1"/>
    <col min="6928" max="6928" width="11.42578125" style="1" customWidth="1"/>
    <col min="6929" max="6929" width="12.140625" style="1" customWidth="1"/>
    <col min="6930" max="6930" width="1.7109375" style="1" customWidth="1"/>
    <col min="6931" max="6931" width="13.5703125" style="1" customWidth="1"/>
    <col min="6932" max="7168" width="8.85546875" style="1"/>
    <col min="7169" max="7169" width="9.28515625" style="1" customWidth="1"/>
    <col min="7170" max="7170" width="1.7109375" style="1" customWidth="1"/>
    <col min="7171" max="7174" width="12" style="1" customWidth="1"/>
    <col min="7175" max="7175" width="11.85546875" style="1" customWidth="1"/>
    <col min="7176" max="7176" width="10.7109375" style="1" customWidth="1"/>
    <col min="7177" max="7177" width="10.5703125" style="1" customWidth="1"/>
    <col min="7178" max="7178" width="1.140625" style="1" customWidth="1"/>
    <col min="7179" max="7179" width="11.28515625" style="1" customWidth="1"/>
    <col min="7180" max="7180" width="12.7109375" style="1" customWidth="1"/>
    <col min="7181" max="7181" width="11.5703125" style="1" customWidth="1"/>
    <col min="7182" max="7182" width="12.42578125" style="1" customWidth="1"/>
    <col min="7183" max="7183" width="1.5703125" style="1" customWidth="1"/>
    <col min="7184" max="7184" width="11.42578125" style="1" customWidth="1"/>
    <col min="7185" max="7185" width="12.140625" style="1" customWidth="1"/>
    <col min="7186" max="7186" width="1.7109375" style="1" customWidth="1"/>
    <col min="7187" max="7187" width="13.5703125" style="1" customWidth="1"/>
    <col min="7188" max="7424" width="8.85546875" style="1"/>
    <col min="7425" max="7425" width="9.28515625" style="1" customWidth="1"/>
    <col min="7426" max="7426" width="1.7109375" style="1" customWidth="1"/>
    <col min="7427" max="7430" width="12" style="1" customWidth="1"/>
    <col min="7431" max="7431" width="11.85546875" style="1" customWidth="1"/>
    <col min="7432" max="7432" width="10.7109375" style="1" customWidth="1"/>
    <col min="7433" max="7433" width="10.5703125" style="1" customWidth="1"/>
    <col min="7434" max="7434" width="1.140625" style="1" customWidth="1"/>
    <col min="7435" max="7435" width="11.28515625" style="1" customWidth="1"/>
    <col min="7436" max="7436" width="12.7109375" style="1" customWidth="1"/>
    <col min="7437" max="7437" width="11.5703125" style="1" customWidth="1"/>
    <col min="7438" max="7438" width="12.42578125" style="1" customWidth="1"/>
    <col min="7439" max="7439" width="1.5703125" style="1" customWidth="1"/>
    <col min="7440" max="7440" width="11.42578125" style="1" customWidth="1"/>
    <col min="7441" max="7441" width="12.140625" style="1" customWidth="1"/>
    <col min="7442" max="7442" width="1.7109375" style="1" customWidth="1"/>
    <col min="7443" max="7443" width="13.5703125" style="1" customWidth="1"/>
    <col min="7444" max="7680" width="8.85546875" style="1"/>
    <col min="7681" max="7681" width="9.28515625" style="1" customWidth="1"/>
    <col min="7682" max="7682" width="1.7109375" style="1" customWidth="1"/>
    <col min="7683" max="7686" width="12" style="1" customWidth="1"/>
    <col min="7687" max="7687" width="11.85546875" style="1" customWidth="1"/>
    <col min="7688" max="7688" width="10.7109375" style="1" customWidth="1"/>
    <col min="7689" max="7689" width="10.5703125" style="1" customWidth="1"/>
    <col min="7690" max="7690" width="1.140625" style="1" customWidth="1"/>
    <col min="7691" max="7691" width="11.28515625" style="1" customWidth="1"/>
    <col min="7692" max="7692" width="12.7109375" style="1" customWidth="1"/>
    <col min="7693" max="7693" width="11.5703125" style="1" customWidth="1"/>
    <col min="7694" max="7694" width="12.42578125" style="1" customWidth="1"/>
    <col min="7695" max="7695" width="1.5703125" style="1" customWidth="1"/>
    <col min="7696" max="7696" width="11.42578125" style="1" customWidth="1"/>
    <col min="7697" max="7697" width="12.140625" style="1" customWidth="1"/>
    <col min="7698" max="7698" width="1.7109375" style="1" customWidth="1"/>
    <col min="7699" max="7699" width="13.5703125" style="1" customWidth="1"/>
    <col min="7700" max="7936" width="8.85546875" style="1"/>
    <col min="7937" max="7937" width="9.28515625" style="1" customWidth="1"/>
    <col min="7938" max="7938" width="1.7109375" style="1" customWidth="1"/>
    <col min="7939" max="7942" width="12" style="1" customWidth="1"/>
    <col min="7943" max="7943" width="11.85546875" style="1" customWidth="1"/>
    <col min="7944" max="7944" width="10.7109375" style="1" customWidth="1"/>
    <col min="7945" max="7945" width="10.5703125" style="1" customWidth="1"/>
    <col min="7946" max="7946" width="1.140625" style="1" customWidth="1"/>
    <col min="7947" max="7947" width="11.28515625" style="1" customWidth="1"/>
    <col min="7948" max="7948" width="12.7109375" style="1" customWidth="1"/>
    <col min="7949" max="7949" width="11.5703125" style="1" customWidth="1"/>
    <col min="7950" max="7950" width="12.42578125" style="1" customWidth="1"/>
    <col min="7951" max="7951" width="1.5703125" style="1" customWidth="1"/>
    <col min="7952" max="7952" width="11.42578125" style="1" customWidth="1"/>
    <col min="7953" max="7953" width="12.140625" style="1" customWidth="1"/>
    <col min="7954" max="7954" width="1.7109375" style="1" customWidth="1"/>
    <col min="7955" max="7955" width="13.5703125" style="1" customWidth="1"/>
    <col min="7956" max="8192" width="8.85546875" style="1"/>
    <col min="8193" max="8193" width="9.28515625" style="1" customWidth="1"/>
    <col min="8194" max="8194" width="1.7109375" style="1" customWidth="1"/>
    <col min="8195" max="8198" width="12" style="1" customWidth="1"/>
    <col min="8199" max="8199" width="11.85546875" style="1" customWidth="1"/>
    <col min="8200" max="8200" width="10.7109375" style="1" customWidth="1"/>
    <col min="8201" max="8201" width="10.5703125" style="1" customWidth="1"/>
    <col min="8202" max="8202" width="1.140625" style="1" customWidth="1"/>
    <col min="8203" max="8203" width="11.28515625" style="1" customWidth="1"/>
    <col min="8204" max="8204" width="12.7109375" style="1" customWidth="1"/>
    <col min="8205" max="8205" width="11.5703125" style="1" customWidth="1"/>
    <col min="8206" max="8206" width="12.42578125" style="1" customWidth="1"/>
    <col min="8207" max="8207" width="1.5703125" style="1" customWidth="1"/>
    <col min="8208" max="8208" width="11.42578125" style="1" customWidth="1"/>
    <col min="8209" max="8209" width="12.140625" style="1" customWidth="1"/>
    <col min="8210" max="8210" width="1.7109375" style="1" customWidth="1"/>
    <col min="8211" max="8211" width="13.5703125" style="1" customWidth="1"/>
    <col min="8212" max="8448" width="8.85546875" style="1"/>
    <col min="8449" max="8449" width="9.28515625" style="1" customWidth="1"/>
    <col min="8450" max="8450" width="1.7109375" style="1" customWidth="1"/>
    <col min="8451" max="8454" width="12" style="1" customWidth="1"/>
    <col min="8455" max="8455" width="11.85546875" style="1" customWidth="1"/>
    <col min="8456" max="8456" width="10.7109375" style="1" customWidth="1"/>
    <col min="8457" max="8457" width="10.5703125" style="1" customWidth="1"/>
    <col min="8458" max="8458" width="1.140625" style="1" customWidth="1"/>
    <col min="8459" max="8459" width="11.28515625" style="1" customWidth="1"/>
    <col min="8460" max="8460" width="12.7109375" style="1" customWidth="1"/>
    <col min="8461" max="8461" width="11.5703125" style="1" customWidth="1"/>
    <col min="8462" max="8462" width="12.42578125" style="1" customWidth="1"/>
    <col min="8463" max="8463" width="1.5703125" style="1" customWidth="1"/>
    <col min="8464" max="8464" width="11.42578125" style="1" customWidth="1"/>
    <col min="8465" max="8465" width="12.140625" style="1" customWidth="1"/>
    <col min="8466" max="8466" width="1.7109375" style="1" customWidth="1"/>
    <col min="8467" max="8467" width="13.5703125" style="1" customWidth="1"/>
    <col min="8468" max="8704" width="8.85546875" style="1"/>
    <col min="8705" max="8705" width="9.28515625" style="1" customWidth="1"/>
    <col min="8706" max="8706" width="1.7109375" style="1" customWidth="1"/>
    <col min="8707" max="8710" width="12" style="1" customWidth="1"/>
    <col min="8711" max="8711" width="11.85546875" style="1" customWidth="1"/>
    <col min="8712" max="8712" width="10.7109375" style="1" customWidth="1"/>
    <col min="8713" max="8713" width="10.5703125" style="1" customWidth="1"/>
    <col min="8714" max="8714" width="1.140625" style="1" customWidth="1"/>
    <col min="8715" max="8715" width="11.28515625" style="1" customWidth="1"/>
    <col min="8716" max="8716" width="12.7109375" style="1" customWidth="1"/>
    <col min="8717" max="8717" width="11.5703125" style="1" customWidth="1"/>
    <col min="8718" max="8718" width="12.42578125" style="1" customWidth="1"/>
    <col min="8719" max="8719" width="1.5703125" style="1" customWidth="1"/>
    <col min="8720" max="8720" width="11.42578125" style="1" customWidth="1"/>
    <col min="8721" max="8721" width="12.140625" style="1" customWidth="1"/>
    <col min="8722" max="8722" width="1.7109375" style="1" customWidth="1"/>
    <col min="8723" max="8723" width="13.5703125" style="1" customWidth="1"/>
    <col min="8724" max="8960" width="8.85546875" style="1"/>
    <col min="8961" max="8961" width="9.28515625" style="1" customWidth="1"/>
    <col min="8962" max="8962" width="1.7109375" style="1" customWidth="1"/>
    <col min="8963" max="8966" width="12" style="1" customWidth="1"/>
    <col min="8967" max="8967" width="11.85546875" style="1" customWidth="1"/>
    <col min="8968" max="8968" width="10.7109375" style="1" customWidth="1"/>
    <col min="8969" max="8969" width="10.5703125" style="1" customWidth="1"/>
    <col min="8970" max="8970" width="1.140625" style="1" customWidth="1"/>
    <col min="8971" max="8971" width="11.28515625" style="1" customWidth="1"/>
    <col min="8972" max="8972" width="12.7109375" style="1" customWidth="1"/>
    <col min="8973" max="8973" width="11.5703125" style="1" customWidth="1"/>
    <col min="8974" max="8974" width="12.42578125" style="1" customWidth="1"/>
    <col min="8975" max="8975" width="1.5703125" style="1" customWidth="1"/>
    <col min="8976" max="8976" width="11.42578125" style="1" customWidth="1"/>
    <col min="8977" max="8977" width="12.140625" style="1" customWidth="1"/>
    <col min="8978" max="8978" width="1.7109375" style="1" customWidth="1"/>
    <col min="8979" max="8979" width="13.5703125" style="1" customWidth="1"/>
    <col min="8980" max="9216" width="8.85546875" style="1"/>
    <col min="9217" max="9217" width="9.28515625" style="1" customWidth="1"/>
    <col min="9218" max="9218" width="1.7109375" style="1" customWidth="1"/>
    <col min="9219" max="9222" width="12" style="1" customWidth="1"/>
    <col min="9223" max="9223" width="11.85546875" style="1" customWidth="1"/>
    <col min="9224" max="9224" width="10.7109375" style="1" customWidth="1"/>
    <col min="9225" max="9225" width="10.5703125" style="1" customWidth="1"/>
    <col min="9226" max="9226" width="1.140625" style="1" customWidth="1"/>
    <col min="9227" max="9227" width="11.28515625" style="1" customWidth="1"/>
    <col min="9228" max="9228" width="12.7109375" style="1" customWidth="1"/>
    <col min="9229" max="9229" width="11.5703125" style="1" customWidth="1"/>
    <col min="9230" max="9230" width="12.42578125" style="1" customWidth="1"/>
    <col min="9231" max="9231" width="1.5703125" style="1" customWidth="1"/>
    <col min="9232" max="9232" width="11.42578125" style="1" customWidth="1"/>
    <col min="9233" max="9233" width="12.140625" style="1" customWidth="1"/>
    <col min="9234" max="9234" width="1.7109375" style="1" customWidth="1"/>
    <col min="9235" max="9235" width="13.5703125" style="1" customWidth="1"/>
    <col min="9236" max="9472" width="8.85546875" style="1"/>
    <col min="9473" max="9473" width="9.28515625" style="1" customWidth="1"/>
    <col min="9474" max="9474" width="1.7109375" style="1" customWidth="1"/>
    <col min="9475" max="9478" width="12" style="1" customWidth="1"/>
    <col min="9479" max="9479" width="11.85546875" style="1" customWidth="1"/>
    <col min="9480" max="9480" width="10.7109375" style="1" customWidth="1"/>
    <col min="9481" max="9481" width="10.5703125" style="1" customWidth="1"/>
    <col min="9482" max="9482" width="1.140625" style="1" customWidth="1"/>
    <col min="9483" max="9483" width="11.28515625" style="1" customWidth="1"/>
    <col min="9484" max="9484" width="12.7109375" style="1" customWidth="1"/>
    <col min="9485" max="9485" width="11.5703125" style="1" customWidth="1"/>
    <col min="9486" max="9486" width="12.42578125" style="1" customWidth="1"/>
    <col min="9487" max="9487" width="1.5703125" style="1" customWidth="1"/>
    <col min="9488" max="9488" width="11.42578125" style="1" customWidth="1"/>
    <col min="9489" max="9489" width="12.140625" style="1" customWidth="1"/>
    <col min="9490" max="9490" width="1.7109375" style="1" customWidth="1"/>
    <col min="9491" max="9491" width="13.5703125" style="1" customWidth="1"/>
    <col min="9492" max="9728" width="8.85546875" style="1"/>
    <col min="9729" max="9729" width="9.28515625" style="1" customWidth="1"/>
    <col min="9730" max="9730" width="1.7109375" style="1" customWidth="1"/>
    <col min="9731" max="9734" width="12" style="1" customWidth="1"/>
    <col min="9735" max="9735" width="11.85546875" style="1" customWidth="1"/>
    <col min="9736" max="9736" width="10.7109375" style="1" customWidth="1"/>
    <col min="9737" max="9737" width="10.5703125" style="1" customWidth="1"/>
    <col min="9738" max="9738" width="1.140625" style="1" customWidth="1"/>
    <col min="9739" max="9739" width="11.28515625" style="1" customWidth="1"/>
    <col min="9740" max="9740" width="12.7109375" style="1" customWidth="1"/>
    <col min="9741" max="9741" width="11.5703125" style="1" customWidth="1"/>
    <col min="9742" max="9742" width="12.42578125" style="1" customWidth="1"/>
    <col min="9743" max="9743" width="1.5703125" style="1" customWidth="1"/>
    <col min="9744" max="9744" width="11.42578125" style="1" customWidth="1"/>
    <col min="9745" max="9745" width="12.140625" style="1" customWidth="1"/>
    <col min="9746" max="9746" width="1.7109375" style="1" customWidth="1"/>
    <col min="9747" max="9747" width="13.5703125" style="1" customWidth="1"/>
    <col min="9748" max="9984" width="8.85546875" style="1"/>
    <col min="9985" max="9985" width="9.28515625" style="1" customWidth="1"/>
    <col min="9986" max="9986" width="1.7109375" style="1" customWidth="1"/>
    <col min="9987" max="9990" width="12" style="1" customWidth="1"/>
    <col min="9991" max="9991" width="11.85546875" style="1" customWidth="1"/>
    <col min="9992" max="9992" width="10.7109375" style="1" customWidth="1"/>
    <col min="9993" max="9993" width="10.5703125" style="1" customWidth="1"/>
    <col min="9994" max="9994" width="1.140625" style="1" customWidth="1"/>
    <col min="9995" max="9995" width="11.28515625" style="1" customWidth="1"/>
    <col min="9996" max="9996" width="12.7109375" style="1" customWidth="1"/>
    <col min="9997" max="9997" width="11.5703125" style="1" customWidth="1"/>
    <col min="9998" max="9998" width="12.42578125" style="1" customWidth="1"/>
    <col min="9999" max="9999" width="1.5703125" style="1" customWidth="1"/>
    <col min="10000" max="10000" width="11.42578125" style="1" customWidth="1"/>
    <col min="10001" max="10001" width="12.140625" style="1" customWidth="1"/>
    <col min="10002" max="10002" width="1.7109375" style="1" customWidth="1"/>
    <col min="10003" max="10003" width="13.5703125" style="1" customWidth="1"/>
    <col min="10004" max="10240" width="8.85546875" style="1"/>
    <col min="10241" max="10241" width="9.28515625" style="1" customWidth="1"/>
    <col min="10242" max="10242" width="1.7109375" style="1" customWidth="1"/>
    <col min="10243" max="10246" width="12" style="1" customWidth="1"/>
    <col min="10247" max="10247" width="11.85546875" style="1" customWidth="1"/>
    <col min="10248" max="10248" width="10.7109375" style="1" customWidth="1"/>
    <col min="10249" max="10249" width="10.5703125" style="1" customWidth="1"/>
    <col min="10250" max="10250" width="1.140625" style="1" customWidth="1"/>
    <col min="10251" max="10251" width="11.28515625" style="1" customWidth="1"/>
    <col min="10252" max="10252" width="12.7109375" style="1" customWidth="1"/>
    <col min="10253" max="10253" width="11.5703125" style="1" customWidth="1"/>
    <col min="10254" max="10254" width="12.42578125" style="1" customWidth="1"/>
    <col min="10255" max="10255" width="1.5703125" style="1" customWidth="1"/>
    <col min="10256" max="10256" width="11.42578125" style="1" customWidth="1"/>
    <col min="10257" max="10257" width="12.140625" style="1" customWidth="1"/>
    <col min="10258" max="10258" width="1.7109375" style="1" customWidth="1"/>
    <col min="10259" max="10259" width="13.5703125" style="1" customWidth="1"/>
    <col min="10260" max="10496" width="8.85546875" style="1"/>
    <col min="10497" max="10497" width="9.28515625" style="1" customWidth="1"/>
    <col min="10498" max="10498" width="1.7109375" style="1" customWidth="1"/>
    <col min="10499" max="10502" width="12" style="1" customWidth="1"/>
    <col min="10503" max="10503" width="11.85546875" style="1" customWidth="1"/>
    <col min="10504" max="10504" width="10.7109375" style="1" customWidth="1"/>
    <col min="10505" max="10505" width="10.5703125" style="1" customWidth="1"/>
    <col min="10506" max="10506" width="1.140625" style="1" customWidth="1"/>
    <col min="10507" max="10507" width="11.28515625" style="1" customWidth="1"/>
    <col min="10508" max="10508" width="12.7109375" style="1" customWidth="1"/>
    <col min="10509" max="10509" width="11.5703125" style="1" customWidth="1"/>
    <col min="10510" max="10510" width="12.42578125" style="1" customWidth="1"/>
    <col min="10511" max="10511" width="1.5703125" style="1" customWidth="1"/>
    <col min="10512" max="10512" width="11.42578125" style="1" customWidth="1"/>
    <col min="10513" max="10513" width="12.140625" style="1" customWidth="1"/>
    <col min="10514" max="10514" width="1.7109375" style="1" customWidth="1"/>
    <col min="10515" max="10515" width="13.5703125" style="1" customWidth="1"/>
    <col min="10516" max="10752" width="8.85546875" style="1"/>
    <col min="10753" max="10753" width="9.28515625" style="1" customWidth="1"/>
    <col min="10754" max="10754" width="1.7109375" style="1" customWidth="1"/>
    <col min="10755" max="10758" width="12" style="1" customWidth="1"/>
    <col min="10759" max="10759" width="11.85546875" style="1" customWidth="1"/>
    <col min="10760" max="10760" width="10.7109375" style="1" customWidth="1"/>
    <col min="10761" max="10761" width="10.5703125" style="1" customWidth="1"/>
    <col min="10762" max="10762" width="1.140625" style="1" customWidth="1"/>
    <col min="10763" max="10763" width="11.28515625" style="1" customWidth="1"/>
    <col min="10764" max="10764" width="12.7109375" style="1" customWidth="1"/>
    <col min="10765" max="10765" width="11.5703125" style="1" customWidth="1"/>
    <col min="10766" max="10766" width="12.42578125" style="1" customWidth="1"/>
    <col min="10767" max="10767" width="1.5703125" style="1" customWidth="1"/>
    <col min="10768" max="10768" width="11.42578125" style="1" customWidth="1"/>
    <col min="10769" max="10769" width="12.140625" style="1" customWidth="1"/>
    <col min="10770" max="10770" width="1.7109375" style="1" customWidth="1"/>
    <col min="10771" max="10771" width="13.5703125" style="1" customWidth="1"/>
    <col min="10772" max="11008" width="8.85546875" style="1"/>
    <col min="11009" max="11009" width="9.28515625" style="1" customWidth="1"/>
    <col min="11010" max="11010" width="1.7109375" style="1" customWidth="1"/>
    <col min="11011" max="11014" width="12" style="1" customWidth="1"/>
    <col min="11015" max="11015" width="11.85546875" style="1" customWidth="1"/>
    <col min="11016" max="11016" width="10.7109375" style="1" customWidth="1"/>
    <col min="11017" max="11017" width="10.5703125" style="1" customWidth="1"/>
    <col min="11018" max="11018" width="1.140625" style="1" customWidth="1"/>
    <col min="11019" max="11019" width="11.28515625" style="1" customWidth="1"/>
    <col min="11020" max="11020" width="12.7109375" style="1" customWidth="1"/>
    <col min="11021" max="11021" width="11.5703125" style="1" customWidth="1"/>
    <col min="11022" max="11022" width="12.42578125" style="1" customWidth="1"/>
    <col min="11023" max="11023" width="1.5703125" style="1" customWidth="1"/>
    <col min="11024" max="11024" width="11.42578125" style="1" customWidth="1"/>
    <col min="11025" max="11025" width="12.140625" style="1" customWidth="1"/>
    <col min="11026" max="11026" width="1.7109375" style="1" customWidth="1"/>
    <col min="11027" max="11027" width="13.5703125" style="1" customWidth="1"/>
    <col min="11028" max="11264" width="8.85546875" style="1"/>
    <col min="11265" max="11265" width="9.28515625" style="1" customWidth="1"/>
    <col min="11266" max="11266" width="1.7109375" style="1" customWidth="1"/>
    <col min="11267" max="11270" width="12" style="1" customWidth="1"/>
    <col min="11271" max="11271" width="11.85546875" style="1" customWidth="1"/>
    <col min="11272" max="11272" width="10.7109375" style="1" customWidth="1"/>
    <col min="11273" max="11273" width="10.5703125" style="1" customWidth="1"/>
    <col min="11274" max="11274" width="1.140625" style="1" customWidth="1"/>
    <col min="11275" max="11275" width="11.28515625" style="1" customWidth="1"/>
    <col min="11276" max="11276" width="12.7109375" style="1" customWidth="1"/>
    <col min="11277" max="11277" width="11.5703125" style="1" customWidth="1"/>
    <col min="11278" max="11278" width="12.42578125" style="1" customWidth="1"/>
    <col min="11279" max="11279" width="1.5703125" style="1" customWidth="1"/>
    <col min="11280" max="11280" width="11.42578125" style="1" customWidth="1"/>
    <col min="11281" max="11281" width="12.140625" style="1" customWidth="1"/>
    <col min="11282" max="11282" width="1.7109375" style="1" customWidth="1"/>
    <col min="11283" max="11283" width="13.5703125" style="1" customWidth="1"/>
    <col min="11284" max="11520" width="8.85546875" style="1"/>
    <col min="11521" max="11521" width="9.28515625" style="1" customWidth="1"/>
    <col min="11522" max="11522" width="1.7109375" style="1" customWidth="1"/>
    <col min="11523" max="11526" width="12" style="1" customWidth="1"/>
    <col min="11527" max="11527" width="11.85546875" style="1" customWidth="1"/>
    <col min="11528" max="11528" width="10.7109375" style="1" customWidth="1"/>
    <col min="11529" max="11529" width="10.5703125" style="1" customWidth="1"/>
    <col min="11530" max="11530" width="1.140625" style="1" customWidth="1"/>
    <col min="11531" max="11531" width="11.28515625" style="1" customWidth="1"/>
    <col min="11532" max="11532" width="12.7109375" style="1" customWidth="1"/>
    <col min="11533" max="11533" width="11.5703125" style="1" customWidth="1"/>
    <col min="11534" max="11534" width="12.42578125" style="1" customWidth="1"/>
    <col min="11535" max="11535" width="1.5703125" style="1" customWidth="1"/>
    <col min="11536" max="11536" width="11.42578125" style="1" customWidth="1"/>
    <col min="11537" max="11537" width="12.140625" style="1" customWidth="1"/>
    <col min="11538" max="11538" width="1.7109375" style="1" customWidth="1"/>
    <col min="11539" max="11539" width="13.5703125" style="1" customWidth="1"/>
    <col min="11540" max="11776" width="8.85546875" style="1"/>
    <col min="11777" max="11777" width="9.28515625" style="1" customWidth="1"/>
    <col min="11778" max="11778" width="1.7109375" style="1" customWidth="1"/>
    <col min="11779" max="11782" width="12" style="1" customWidth="1"/>
    <col min="11783" max="11783" width="11.85546875" style="1" customWidth="1"/>
    <col min="11784" max="11784" width="10.7109375" style="1" customWidth="1"/>
    <col min="11785" max="11785" width="10.5703125" style="1" customWidth="1"/>
    <col min="11786" max="11786" width="1.140625" style="1" customWidth="1"/>
    <col min="11787" max="11787" width="11.28515625" style="1" customWidth="1"/>
    <col min="11788" max="11788" width="12.7109375" style="1" customWidth="1"/>
    <col min="11789" max="11789" width="11.5703125" style="1" customWidth="1"/>
    <col min="11790" max="11790" width="12.42578125" style="1" customWidth="1"/>
    <col min="11791" max="11791" width="1.5703125" style="1" customWidth="1"/>
    <col min="11792" max="11792" width="11.42578125" style="1" customWidth="1"/>
    <col min="11793" max="11793" width="12.140625" style="1" customWidth="1"/>
    <col min="11794" max="11794" width="1.7109375" style="1" customWidth="1"/>
    <col min="11795" max="11795" width="13.5703125" style="1" customWidth="1"/>
    <col min="11796" max="12032" width="8.85546875" style="1"/>
    <col min="12033" max="12033" width="9.28515625" style="1" customWidth="1"/>
    <col min="12034" max="12034" width="1.7109375" style="1" customWidth="1"/>
    <col min="12035" max="12038" width="12" style="1" customWidth="1"/>
    <col min="12039" max="12039" width="11.85546875" style="1" customWidth="1"/>
    <col min="12040" max="12040" width="10.7109375" style="1" customWidth="1"/>
    <col min="12041" max="12041" width="10.5703125" style="1" customWidth="1"/>
    <col min="12042" max="12042" width="1.140625" style="1" customWidth="1"/>
    <col min="12043" max="12043" width="11.28515625" style="1" customWidth="1"/>
    <col min="12044" max="12044" width="12.7109375" style="1" customWidth="1"/>
    <col min="12045" max="12045" width="11.5703125" style="1" customWidth="1"/>
    <col min="12046" max="12046" width="12.42578125" style="1" customWidth="1"/>
    <col min="12047" max="12047" width="1.5703125" style="1" customWidth="1"/>
    <col min="12048" max="12048" width="11.42578125" style="1" customWidth="1"/>
    <col min="12049" max="12049" width="12.140625" style="1" customWidth="1"/>
    <col min="12050" max="12050" width="1.7109375" style="1" customWidth="1"/>
    <col min="12051" max="12051" width="13.5703125" style="1" customWidth="1"/>
    <col min="12052" max="12288" width="8.85546875" style="1"/>
    <col min="12289" max="12289" width="9.28515625" style="1" customWidth="1"/>
    <col min="12290" max="12290" width="1.7109375" style="1" customWidth="1"/>
    <col min="12291" max="12294" width="12" style="1" customWidth="1"/>
    <col min="12295" max="12295" width="11.85546875" style="1" customWidth="1"/>
    <col min="12296" max="12296" width="10.7109375" style="1" customWidth="1"/>
    <col min="12297" max="12297" width="10.5703125" style="1" customWidth="1"/>
    <col min="12298" max="12298" width="1.140625" style="1" customWidth="1"/>
    <col min="12299" max="12299" width="11.28515625" style="1" customWidth="1"/>
    <col min="12300" max="12300" width="12.7109375" style="1" customWidth="1"/>
    <col min="12301" max="12301" width="11.5703125" style="1" customWidth="1"/>
    <col min="12302" max="12302" width="12.42578125" style="1" customWidth="1"/>
    <col min="12303" max="12303" width="1.5703125" style="1" customWidth="1"/>
    <col min="12304" max="12304" width="11.42578125" style="1" customWidth="1"/>
    <col min="12305" max="12305" width="12.140625" style="1" customWidth="1"/>
    <col min="12306" max="12306" width="1.7109375" style="1" customWidth="1"/>
    <col min="12307" max="12307" width="13.5703125" style="1" customWidth="1"/>
    <col min="12308" max="12544" width="8.85546875" style="1"/>
    <col min="12545" max="12545" width="9.28515625" style="1" customWidth="1"/>
    <col min="12546" max="12546" width="1.7109375" style="1" customWidth="1"/>
    <col min="12547" max="12550" width="12" style="1" customWidth="1"/>
    <col min="12551" max="12551" width="11.85546875" style="1" customWidth="1"/>
    <col min="12552" max="12552" width="10.7109375" style="1" customWidth="1"/>
    <col min="12553" max="12553" width="10.5703125" style="1" customWidth="1"/>
    <col min="12554" max="12554" width="1.140625" style="1" customWidth="1"/>
    <col min="12555" max="12555" width="11.28515625" style="1" customWidth="1"/>
    <col min="12556" max="12556" width="12.7109375" style="1" customWidth="1"/>
    <col min="12557" max="12557" width="11.5703125" style="1" customWidth="1"/>
    <col min="12558" max="12558" width="12.42578125" style="1" customWidth="1"/>
    <col min="12559" max="12559" width="1.5703125" style="1" customWidth="1"/>
    <col min="12560" max="12560" width="11.42578125" style="1" customWidth="1"/>
    <col min="12561" max="12561" width="12.140625" style="1" customWidth="1"/>
    <col min="12562" max="12562" width="1.7109375" style="1" customWidth="1"/>
    <col min="12563" max="12563" width="13.5703125" style="1" customWidth="1"/>
    <col min="12564" max="12800" width="8.85546875" style="1"/>
    <col min="12801" max="12801" width="9.28515625" style="1" customWidth="1"/>
    <col min="12802" max="12802" width="1.7109375" style="1" customWidth="1"/>
    <col min="12803" max="12806" width="12" style="1" customWidth="1"/>
    <col min="12807" max="12807" width="11.85546875" style="1" customWidth="1"/>
    <col min="12808" max="12808" width="10.7109375" style="1" customWidth="1"/>
    <col min="12809" max="12809" width="10.5703125" style="1" customWidth="1"/>
    <col min="12810" max="12810" width="1.140625" style="1" customWidth="1"/>
    <col min="12811" max="12811" width="11.28515625" style="1" customWidth="1"/>
    <col min="12812" max="12812" width="12.7109375" style="1" customWidth="1"/>
    <col min="12813" max="12813" width="11.5703125" style="1" customWidth="1"/>
    <col min="12814" max="12814" width="12.42578125" style="1" customWidth="1"/>
    <col min="12815" max="12815" width="1.5703125" style="1" customWidth="1"/>
    <col min="12816" max="12816" width="11.42578125" style="1" customWidth="1"/>
    <col min="12817" max="12817" width="12.140625" style="1" customWidth="1"/>
    <col min="12818" max="12818" width="1.7109375" style="1" customWidth="1"/>
    <col min="12819" max="12819" width="13.5703125" style="1" customWidth="1"/>
    <col min="12820" max="13056" width="8.85546875" style="1"/>
    <col min="13057" max="13057" width="9.28515625" style="1" customWidth="1"/>
    <col min="13058" max="13058" width="1.7109375" style="1" customWidth="1"/>
    <col min="13059" max="13062" width="12" style="1" customWidth="1"/>
    <col min="13063" max="13063" width="11.85546875" style="1" customWidth="1"/>
    <col min="13064" max="13064" width="10.7109375" style="1" customWidth="1"/>
    <col min="13065" max="13065" width="10.5703125" style="1" customWidth="1"/>
    <col min="13066" max="13066" width="1.140625" style="1" customWidth="1"/>
    <col min="13067" max="13067" width="11.28515625" style="1" customWidth="1"/>
    <col min="13068" max="13068" width="12.7109375" style="1" customWidth="1"/>
    <col min="13069" max="13069" width="11.5703125" style="1" customWidth="1"/>
    <col min="13070" max="13070" width="12.42578125" style="1" customWidth="1"/>
    <col min="13071" max="13071" width="1.5703125" style="1" customWidth="1"/>
    <col min="13072" max="13072" width="11.42578125" style="1" customWidth="1"/>
    <col min="13073" max="13073" width="12.140625" style="1" customWidth="1"/>
    <col min="13074" max="13074" width="1.7109375" style="1" customWidth="1"/>
    <col min="13075" max="13075" width="13.5703125" style="1" customWidth="1"/>
    <col min="13076" max="13312" width="8.85546875" style="1"/>
    <col min="13313" max="13313" width="9.28515625" style="1" customWidth="1"/>
    <col min="13314" max="13314" width="1.7109375" style="1" customWidth="1"/>
    <col min="13315" max="13318" width="12" style="1" customWidth="1"/>
    <col min="13319" max="13319" width="11.85546875" style="1" customWidth="1"/>
    <col min="13320" max="13320" width="10.7109375" style="1" customWidth="1"/>
    <col min="13321" max="13321" width="10.5703125" style="1" customWidth="1"/>
    <col min="13322" max="13322" width="1.140625" style="1" customWidth="1"/>
    <col min="13323" max="13323" width="11.28515625" style="1" customWidth="1"/>
    <col min="13324" max="13324" width="12.7109375" style="1" customWidth="1"/>
    <col min="13325" max="13325" width="11.5703125" style="1" customWidth="1"/>
    <col min="13326" max="13326" width="12.42578125" style="1" customWidth="1"/>
    <col min="13327" max="13327" width="1.5703125" style="1" customWidth="1"/>
    <col min="13328" max="13328" width="11.42578125" style="1" customWidth="1"/>
    <col min="13329" max="13329" width="12.140625" style="1" customWidth="1"/>
    <col min="13330" max="13330" width="1.7109375" style="1" customWidth="1"/>
    <col min="13331" max="13331" width="13.5703125" style="1" customWidth="1"/>
    <col min="13332" max="13568" width="8.85546875" style="1"/>
    <col min="13569" max="13569" width="9.28515625" style="1" customWidth="1"/>
    <col min="13570" max="13570" width="1.7109375" style="1" customWidth="1"/>
    <col min="13571" max="13574" width="12" style="1" customWidth="1"/>
    <col min="13575" max="13575" width="11.85546875" style="1" customWidth="1"/>
    <col min="13576" max="13576" width="10.7109375" style="1" customWidth="1"/>
    <col min="13577" max="13577" width="10.5703125" style="1" customWidth="1"/>
    <col min="13578" max="13578" width="1.140625" style="1" customWidth="1"/>
    <col min="13579" max="13579" width="11.28515625" style="1" customWidth="1"/>
    <col min="13580" max="13580" width="12.7109375" style="1" customWidth="1"/>
    <col min="13581" max="13581" width="11.5703125" style="1" customWidth="1"/>
    <col min="13582" max="13582" width="12.42578125" style="1" customWidth="1"/>
    <col min="13583" max="13583" width="1.5703125" style="1" customWidth="1"/>
    <col min="13584" max="13584" width="11.42578125" style="1" customWidth="1"/>
    <col min="13585" max="13585" width="12.140625" style="1" customWidth="1"/>
    <col min="13586" max="13586" width="1.7109375" style="1" customWidth="1"/>
    <col min="13587" max="13587" width="13.5703125" style="1" customWidth="1"/>
    <col min="13588" max="13824" width="8.85546875" style="1"/>
    <col min="13825" max="13825" width="9.28515625" style="1" customWidth="1"/>
    <col min="13826" max="13826" width="1.7109375" style="1" customWidth="1"/>
    <col min="13827" max="13830" width="12" style="1" customWidth="1"/>
    <col min="13831" max="13831" width="11.85546875" style="1" customWidth="1"/>
    <col min="13832" max="13832" width="10.7109375" style="1" customWidth="1"/>
    <col min="13833" max="13833" width="10.5703125" style="1" customWidth="1"/>
    <col min="13834" max="13834" width="1.140625" style="1" customWidth="1"/>
    <col min="13835" max="13835" width="11.28515625" style="1" customWidth="1"/>
    <col min="13836" max="13836" width="12.7109375" style="1" customWidth="1"/>
    <col min="13837" max="13837" width="11.5703125" style="1" customWidth="1"/>
    <col min="13838" max="13838" width="12.42578125" style="1" customWidth="1"/>
    <col min="13839" max="13839" width="1.5703125" style="1" customWidth="1"/>
    <col min="13840" max="13840" width="11.42578125" style="1" customWidth="1"/>
    <col min="13841" max="13841" width="12.140625" style="1" customWidth="1"/>
    <col min="13842" max="13842" width="1.7109375" style="1" customWidth="1"/>
    <col min="13843" max="13843" width="13.5703125" style="1" customWidth="1"/>
    <col min="13844" max="14080" width="8.85546875" style="1"/>
    <col min="14081" max="14081" width="9.28515625" style="1" customWidth="1"/>
    <col min="14082" max="14082" width="1.7109375" style="1" customWidth="1"/>
    <col min="14083" max="14086" width="12" style="1" customWidth="1"/>
    <col min="14087" max="14087" width="11.85546875" style="1" customWidth="1"/>
    <col min="14088" max="14088" width="10.7109375" style="1" customWidth="1"/>
    <col min="14089" max="14089" width="10.5703125" style="1" customWidth="1"/>
    <col min="14090" max="14090" width="1.140625" style="1" customWidth="1"/>
    <col min="14091" max="14091" width="11.28515625" style="1" customWidth="1"/>
    <col min="14092" max="14092" width="12.7109375" style="1" customWidth="1"/>
    <col min="14093" max="14093" width="11.5703125" style="1" customWidth="1"/>
    <col min="14094" max="14094" width="12.42578125" style="1" customWidth="1"/>
    <col min="14095" max="14095" width="1.5703125" style="1" customWidth="1"/>
    <col min="14096" max="14096" width="11.42578125" style="1" customWidth="1"/>
    <col min="14097" max="14097" width="12.140625" style="1" customWidth="1"/>
    <col min="14098" max="14098" width="1.7109375" style="1" customWidth="1"/>
    <col min="14099" max="14099" width="13.5703125" style="1" customWidth="1"/>
    <col min="14100" max="14336" width="8.85546875" style="1"/>
    <col min="14337" max="14337" width="9.28515625" style="1" customWidth="1"/>
    <col min="14338" max="14338" width="1.7109375" style="1" customWidth="1"/>
    <col min="14339" max="14342" width="12" style="1" customWidth="1"/>
    <col min="14343" max="14343" width="11.85546875" style="1" customWidth="1"/>
    <col min="14344" max="14344" width="10.7109375" style="1" customWidth="1"/>
    <col min="14345" max="14345" width="10.5703125" style="1" customWidth="1"/>
    <col min="14346" max="14346" width="1.140625" style="1" customWidth="1"/>
    <col min="14347" max="14347" width="11.28515625" style="1" customWidth="1"/>
    <col min="14348" max="14348" width="12.7109375" style="1" customWidth="1"/>
    <col min="14349" max="14349" width="11.5703125" style="1" customWidth="1"/>
    <col min="14350" max="14350" width="12.42578125" style="1" customWidth="1"/>
    <col min="14351" max="14351" width="1.5703125" style="1" customWidth="1"/>
    <col min="14352" max="14352" width="11.42578125" style="1" customWidth="1"/>
    <col min="14353" max="14353" width="12.140625" style="1" customWidth="1"/>
    <col min="14354" max="14354" width="1.7109375" style="1" customWidth="1"/>
    <col min="14355" max="14355" width="13.5703125" style="1" customWidth="1"/>
    <col min="14356" max="14592" width="8.85546875" style="1"/>
    <col min="14593" max="14593" width="9.28515625" style="1" customWidth="1"/>
    <col min="14594" max="14594" width="1.7109375" style="1" customWidth="1"/>
    <col min="14595" max="14598" width="12" style="1" customWidth="1"/>
    <col min="14599" max="14599" width="11.85546875" style="1" customWidth="1"/>
    <col min="14600" max="14600" width="10.7109375" style="1" customWidth="1"/>
    <col min="14601" max="14601" width="10.5703125" style="1" customWidth="1"/>
    <col min="14602" max="14602" width="1.140625" style="1" customWidth="1"/>
    <col min="14603" max="14603" width="11.28515625" style="1" customWidth="1"/>
    <col min="14604" max="14604" width="12.7109375" style="1" customWidth="1"/>
    <col min="14605" max="14605" width="11.5703125" style="1" customWidth="1"/>
    <col min="14606" max="14606" width="12.42578125" style="1" customWidth="1"/>
    <col min="14607" max="14607" width="1.5703125" style="1" customWidth="1"/>
    <col min="14608" max="14608" width="11.42578125" style="1" customWidth="1"/>
    <col min="14609" max="14609" width="12.140625" style="1" customWidth="1"/>
    <col min="14610" max="14610" width="1.7109375" style="1" customWidth="1"/>
    <col min="14611" max="14611" width="13.5703125" style="1" customWidth="1"/>
    <col min="14612" max="14848" width="8.85546875" style="1"/>
    <col min="14849" max="14849" width="9.28515625" style="1" customWidth="1"/>
    <col min="14850" max="14850" width="1.7109375" style="1" customWidth="1"/>
    <col min="14851" max="14854" width="12" style="1" customWidth="1"/>
    <col min="14855" max="14855" width="11.85546875" style="1" customWidth="1"/>
    <col min="14856" max="14856" width="10.7109375" style="1" customWidth="1"/>
    <col min="14857" max="14857" width="10.5703125" style="1" customWidth="1"/>
    <col min="14858" max="14858" width="1.140625" style="1" customWidth="1"/>
    <col min="14859" max="14859" width="11.28515625" style="1" customWidth="1"/>
    <col min="14860" max="14860" width="12.7109375" style="1" customWidth="1"/>
    <col min="14861" max="14861" width="11.5703125" style="1" customWidth="1"/>
    <col min="14862" max="14862" width="12.42578125" style="1" customWidth="1"/>
    <col min="14863" max="14863" width="1.5703125" style="1" customWidth="1"/>
    <col min="14864" max="14864" width="11.42578125" style="1" customWidth="1"/>
    <col min="14865" max="14865" width="12.140625" style="1" customWidth="1"/>
    <col min="14866" max="14866" width="1.7109375" style="1" customWidth="1"/>
    <col min="14867" max="14867" width="13.5703125" style="1" customWidth="1"/>
    <col min="14868" max="15104" width="8.85546875" style="1"/>
    <col min="15105" max="15105" width="9.28515625" style="1" customWidth="1"/>
    <col min="15106" max="15106" width="1.7109375" style="1" customWidth="1"/>
    <col min="15107" max="15110" width="12" style="1" customWidth="1"/>
    <col min="15111" max="15111" width="11.85546875" style="1" customWidth="1"/>
    <col min="15112" max="15112" width="10.7109375" style="1" customWidth="1"/>
    <col min="15113" max="15113" width="10.5703125" style="1" customWidth="1"/>
    <col min="15114" max="15114" width="1.140625" style="1" customWidth="1"/>
    <col min="15115" max="15115" width="11.28515625" style="1" customWidth="1"/>
    <col min="15116" max="15116" width="12.7109375" style="1" customWidth="1"/>
    <col min="15117" max="15117" width="11.5703125" style="1" customWidth="1"/>
    <col min="15118" max="15118" width="12.42578125" style="1" customWidth="1"/>
    <col min="15119" max="15119" width="1.5703125" style="1" customWidth="1"/>
    <col min="15120" max="15120" width="11.42578125" style="1" customWidth="1"/>
    <col min="15121" max="15121" width="12.140625" style="1" customWidth="1"/>
    <col min="15122" max="15122" width="1.7109375" style="1" customWidth="1"/>
    <col min="15123" max="15123" width="13.5703125" style="1" customWidth="1"/>
    <col min="15124" max="15360" width="8.85546875" style="1"/>
    <col min="15361" max="15361" width="9.28515625" style="1" customWidth="1"/>
    <col min="15362" max="15362" width="1.7109375" style="1" customWidth="1"/>
    <col min="15363" max="15366" width="12" style="1" customWidth="1"/>
    <col min="15367" max="15367" width="11.85546875" style="1" customWidth="1"/>
    <col min="15368" max="15368" width="10.7109375" style="1" customWidth="1"/>
    <col min="15369" max="15369" width="10.5703125" style="1" customWidth="1"/>
    <col min="15370" max="15370" width="1.140625" style="1" customWidth="1"/>
    <col min="15371" max="15371" width="11.28515625" style="1" customWidth="1"/>
    <col min="15372" max="15372" width="12.7109375" style="1" customWidth="1"/>
    <col min="15373" max="15373" width="11.5703125" style="1" customWidth="1"/>
    <col min="15374" max="15374" width="12.42578125" style="1" customWidth="1"/>
    <col min="15375" max="15375" width="1.5703125" style="1" customWidth="1"/>
    <col min="15376" max="15376" width="11.42578125" style="1" customWidth="1"/>
    <col min="15377" max="15377" width="12.140625" style="1" customWidth="1"/>
    <col min="15378" max="15378" width="1.7109375" style="1" customWidth="1"/>
    <col min="15379" max="15379" width="13.5703125" style="1" customWidth="1"/>
    <col min="15380" max="15616" width="8.85546875" style="1"/>
    <col min="15617" max="15617" width="9.28515625" style="1" customWidth="1"/>
    <col min="15618" max="15618" width="1.7109375" style="1" customWidth="1"/>
    <col min="15619" max="15622" width="12" style="1" customWidth="1"/>
    <col min="15623" max="15623" width="11.85546875" style="1" customWidth="1"/>
    <col min="15624" max="15624" width="10.7109375" style="1" customWidth="1"/>
    <col min="15625" max="15625" width="10.5703125" style="1" customWidth="1"/>
    <col min="15626" max="15626" width="1.140625" style="1" customWidth="1"/>
    <col min="15627" max="15627" width="11.28515625" style="1" customWidth="1"/>
    <col min="15628" max="15628" width="12.7109375" style="1" customWidth="1"/>
    <col min="15629" max="15629" width="11.5703125" style="1" customWidth="1"/>
    <col min="15630" max="15630" width="12.42578125" style="1" customWidth="1"/>
    <col min="15631" max="15631" width="1.5703125" style="1" customWidth="1"/>
    <col min="15632" max="15632" width="11.42578125" style="1" customWidth="1"/>
    <col min="15633" max="15633" width="12.140625" style="1" customWidth="1"/>
    <col min="15634" max="15634" width="1.7109375" style="1" customWidth="1"/>
    <col min="15635" max="15635" width="13.5703125" style="1" customWidth="1"/>
    <col min="15636" max="15872" width="8.85546875" style="1"/>
    <col min="15873" max="15873" width="9.28515625" style="1" customWidth="1"/>
    <col min="15874" max="15874" width="1.7109375" style="1" customWidth="1"/>
    <col min="15875" max="15878" width="12" style="1" customWidth="1"/>
    <col min="15879" max="15879" width="11.85546875" style="1" customWidth="1"/>
    <col min="15880" max="15880" width="10.7109375" style="1" customWidth="1"/>
    <col min="15881" max="15881" width="10.5703125" style="1" customWidth="1"/>
    <col min="15882" max="15882" width="1.140625" style="1" customWidth="1"/>
    <col min="15883" max="15883" width="11.28515625" style="1" customWidth="1"/>
    <col min="15884" max="15884" width="12.7109375" style="1" customWidth="1"/>
    <col min="15885" max="15885" width="11.5703125" style="1" customWidth="1"/>
    <col min="15886" max="15886" width="12.42578125" style="1" customWidth="1"/>
    <col min="15887" max="15887" width="1.5703125" style="1" customWidth="1"/>
    <col min="15888" max="15888" width="11.42578125" style="1" customWidth="1"/>
    <col min="15889" max="15889" width="12.140625" style="1" customWidth="1"/>
    <col min="15890" max="15890" width="1.7109375" style="1" customWidth="1"/>
    <col min="15891" max="15891" width="13.5703125" style="1" customWidth="1"/>
    <col min="15892" max="16128" width="8.85546875" style="1"/>
    <col min="16129" max="16129" width="9.28515625" style="1" customWidth="1"/>
    <col min="16130" max="16130" width="1.7109375" style="1" customWidth="1"/>
    <col min="16131" max="16134" width="12" style="1" customWidth="1"/>
    <col min="16135" max="16135" width="11.85546875" style="1" customWidth="1"/>
    <col min="16136" max="16136" width="10.7109375" style="1" customWidth="1"/>
    <col min="16137" max="16137" width="10.5703125" style="1" customWidth="1"/>
    <col min="16138" max="16138" width="1.140625" style="1" customWidth="1"/>
    <col min="16139" max="16139" width="11.28515625" style="1" customWidth="1"/>
    <col min="16140" max="16140" width="12.7109375" style="1" customWidth="1"/>
    <col min="16141" max="16141" width="11.5703125" style="1" customWidth="1"/>
    <col min="16142" max="16142" width="12.42578125" style="1" customWidth="1"/>
    <col min="16143" max="16143" width="1.5703125" style="1" customWidth="1"/>
    <col min="16144" max="16144" width="11.42578125" style="1" customWidth="1"/>
    <col min="16145" max="16145" width="12.140625" style="1" customWidth="1"/>
    <col min="16146" max="16146" width="1.7109375" style="1" customWidth="1"/>
    <col min="16147" max="16147" width="13.5703125" style="1" customWidth="1"/>
    <col min="16148" max="16384" width="8.85546875" style="1"/>
  </cols>
  <sheetData>
    <row r="1" spans="1:19" ht="18" x14ac:dyDescent="0.25">
      <c r="A1" s="86" t="s">
        <v>0</v>
      </c>
      <c r="B1" s="86"/>
      <c r="C1" s="86"/>
      <c r="D1" s="86"/>
      <c r="E1" s="86"/>
      <c r="F1" s="86"/>
      <c r="G1" s="86"/>
      <c r="H1" s="86"/>
      <c r="I1" s="86"/>
      <c r="J1" s="86"/>
      <c r="K1" s="86"/>
      <c r="L1" s="86"/>
      <c r="M1" s="86"/>
      <c r="N1" s="86"/>
      <c r="O1" s="86"/>
      <c r="P1" s="86"/>
      <c r="Q1" s="86"/>
      <c r="R1" s="86"/>
      <c r="S1" s="86"/>
    </row>
    <row r="2" spans="1:19" ht="15.75" x14ac:dyDescent="0.25">
      <c r="A2" s="87" t="s">
        <v>1</v>
      </c>
      <c r="B2" s="87"/>
      <c r="C2" s="87"/>
      <c r="D2" s="87"/>
      <c r="E2" s="87"/>
      <c r="F2" s="87"/>
      <c r="G2" s="87"/>
      <c r="H2" s="87"/>
      <c r="I2" s="87"/>
      <c r="J2" s="87"/>
      <c r="K2" s="87"/>
      <c r="L2" s="87"/>
      <c r="M2" s="87"/>
      <c r="N2" s="87"/>
      <c r="O2" s="87"/>
      <c r="P2" s="87"/>
      <c r="Q2" s="87"/>
      <c r="R2" s="87"/>
      <c r="S2" s="87"/>
    </row>
    <row r="3" spans="1:19" s="2" customFormat="1" ht="15.75" x14ac:dyDescent="0.25">
      <c r="A3" s="87" t="s">
        <v>2</v>
      </c>
      <c r="B3" s="87"/>
      <c r="C3" s="87"/>
      <c r="D3" s="87"/>
      <c r="E3" s="87"/>
      <c r="F3" s="87"/>
      <c r="G3" s="87"/>
      <c r="H3" s="87"/>
      <c r="I3" s="87"/>
      <c r="J3" s="87"/>
      <c r="K3" s="87"/>
      <c r="L3" s="87"/>
      <c r="M3" s="87"/>
      <c r="N3" s="87"/>
      <c r="O3" s="87"/>
      <c r="P3" s="87"/>
      <c r="Q3" s="87"/>
      <c r="R3" s="87"/>
      <c r="S3" s="87"/>
    </row>
    <row r="4" spans="1:19" s="2" customFormat="1" ht="14.25" customHeight="1" x14ac:dyDescent="0.25">
      <c r="A4" s="88" t="s">
        <v>3</v>
      </c>
      <c r="B4" s="88"/>
      <c r="C4" s="88"/>
      <c r="D4" s="88"/>
      <c r="E4" s="88"/>
      <c r="F4" s="88"/>
      <c r="G4" s="88"/>
      <c r="H4" s="88"/>
      <c r="I4" s="88"/>
      <c r="J4" s="88"/>
      <c r="K4" s="88"/>
      <c r="L4" s="88"/>
      <c r="M4" s="88"/>
      <c r="N4" s="88"/>
      <c r="O4" s="88"/>
      <c r="P4" s="88"/>
      <c r="Q4" s="88"/>
      <c r="R4" s="88"/>
      <c r="S4" s="88"/>
    </row>
    <row r="5" spans="1:19" s="2" customFormat="1" x14ac:dyDescent="0.25">
      <c r="A5" s="89" t="s">
        <v>4</v>
      </c>
      <c r="B5" s="89"/>
      <c r="C5" s="89"/>
      <c r="D5" s="89"/>
      <c r="E5" s="89"/>
      <c r="F5" s="89"/>
      <c r="G5" s="89"/>
      <c r="H5" s="89"/>
      <c r="I5" s="89"/>
      <c r="J5" s="89"/>
      <c r="K5" s="89"/>
      <c r="L5" s="89"/>
      <c r="M5" s="89"/>
      <c r="N5" s="89"/>
      <c r="O5" s="89"/>
      <c r="P5" s="89"/>
      <c r="Q5" s="89"/>
      <c r="R5" s="89"/>
      <c r="S5" s="89"/>
    </row>
    <row r="6" spans="1:19" s="2" customFormat="1" x14ac:dyDescent="0.25">
      <c r="A6" s="3"/>
      <c r="B6" s="3"/>
      <c r="C6" s="3"/>
      <c r="D6" s="3"/>
      <c r="E6" s="3"/>
      <c r="F6" s="3"/>
      <c r="G6" s="3"/>
      <c r="H6" s="3"/>
      <c r="I6" s="3"/>
      <c r="J6" s="3"/>
      <c r="K6" s="3"/>
      <c r="L6" s="3"/>
      <c r="M6" s="3"/>
      <c r="N6" s="3"/>
      <c r="O6" s="3"/>
      <c r="P6" s="3"/>
      <c r="Q6" s="3"/>
    </row>
    <row r="7" spans="1:19" s="2" customFormat="1" x14ac:dyDescent="0.25">
      <c r="A7" s="4"/>
      <c r="B7" s="4"/>
      <c r="C7" s="5"/>
      <c r="D7" s="5"/>
      <c r="E7" s="5"/>
      <c r="F7" s="5"/>
      <c r="G7" s="6"/>
      <c r="H7" s="7"/>
      <c r="I7" s="6"/>
      <c r="J7" s="6"/>
      <c r="K7" s="6"/>
      <c r="L7" s="6"/>
      <c r="M7" s="6"/>
      <c r="N7" s="6"/>
      <c r="O7" s="6"/>
      <c r="P7" s="6"/>
      <c r="Q7" s="6"/>
    </row>
    <row r="8" spans="1:19" s="8" customFormat="1" ht="14.25" customHeight="1" x14ac:dyDescent="0.25">
      <c r="A8" s="83" t="s">
        <v>66</v>
      </c>
      <c r="B8" s="84"/>
      <c r="C8" s="84"/>
      <c r="D8" s="84"/>
      <c r="E8" s="84"/>
      <c r="F8" s="84"/>
      <c r="G8" s="84"/>
      <c r="H8" s="84"/>
      <c r="I8" s="84"/>
      <c r="J8" s="84"/>
      <c r="K8" s="84"/>
      <c r="L8" s="84"/>
      <c r="M8" s="84"/>
      <c r="N8" s="84"/>
      <c r="O8" s="84"/>
      <c r="P8" s="84"/>
      <c r="Q8" s="84"/>
      <c r="R8" s="84"/>
      <c r="S8" s="85"/>
    </row>
    <row r="9" spans="1:19" s="2" customFormat="1" ht="9" customHeight="1" x14ac:dyDescent="0.25">
      <c r="A9" s="4"/>
      <c r="B9" s="4"/>
      <c r="C9" s="5"/>
      <c r="D9" s="5"/>
      <c r="E9" s="5"/>
      <c r="F9" s="5"/>
      <c r="G9" s="6"/>
      <c r="H9" s="7"/>
      <c r="I9" s="6"/>
      <c r="J9" s="6"/>
      <c r="K9" s="6"/>
      <c r="L9" s="6"/>
      <c r="M9" s="6"/>
      <c r="N9" s="6"/>
      <c r="O9" s="6"/>
      <c r="P9" s="6"/>
      <c r="Q9" s="6"/>
    </row>
    <row r="10" spans="1:19" s="13" customFormat="1" ht="12.75" x14ac:dyDescent="0.2">
      <c r="A10" s="9"/>
      <c r="B10" s="9"/>
      <c r="C10" s="91" t="s">
        <v>6</v>
      </c>
      <c r="D10" s="92"/>
      <c r="E10" s="92"/>
      <c r="F10" s="92"/>
      <c r="G10" s="92"/>
      <c r="H10" s="92"/>
      <c r="I10" s="93"/>
      <c r="J10" s="11"/>
      <c r="K10" s="91" t="s">
        <v>7</v>
      </c>
      <c r="L10" s="92"/>
      <c r="M10" s="92"/>
      <c r="N10" s="93"/>
      <c r="O10" s="12"/>
      <c r="P10" s="91" t="s">
        <v>8</v>
      </c>
      <c r="Q10" s="93"/>
    </row>
    <row r="11" spans="1:19" s="18" customFormat="1" ht="12" x14ac:dyDescent="0.2">
      <c r="A11" s="14"/>
      <c r="B11" s="14"/>
      <c r="C11" s="15"/>
      <c r="D11" s="16" t="s">
        <v>9</v>
      </c>
      <c r="E11" s="15"/>
      <c r="F11" s="15"/>
      <c r="G11" s="16" t="s">
        <v>10</v>
      </c>
      <c r="H11" s="17" t="s">
        <v>11</v>
      </c>
      <c r="I11" s="15"/>
      <c r="J11" s="15"/>
      <c r="K11" s="16" t="s">
        <v>10</v>
      </c>
      <c r="L11" s="16"/>
      <c r="M11" s="16" t="s">
        <v>9</v>
      </c>
      <c r="N11" s="16" t="s">
        <v>10</v>
      </c>
      <c r="P11" s="16" t="s">
        <v>10</v>
      </c>
      <c r="Q11" s="16" t="s">
        <v>10</v>
      </c>
      <c r="S11" s="16" t="s">
        <v>10</v>
      </c>
    </row>
    <row r="12" spans="1:19" s="21" customFormat="1" ht="12" x14ac:dyDescent="0.2">
      <c r="A12" s="19"/>
      <c r="B12" s="19"/>
      <c r="C12" s="16" t="s">
        <v>12</v>
      </c>
      <c r="D12" s="20" t="s">
        <v>13</v>
      </c>
      <c r="E12" s="16" t="s">
        <v>12</v>
      </c>
      <c r="F12" s="16" t="s">
        <v>62</v>
      </c>
      <c r="G12" s="16" t="s">
        <v>14</v>
      </c>
      <c r="H12" s="17" t="s">
        <v>15</v>
      </c>
      <c r="I12" s="16" t="s">
        <v>16</v>
      </c>
      <c r="J12" s="16"/>
      <c r="K12" s="21" t="s">
        <v>11</v>
      </c>
      <c r="L12" s="16" t="s">
        <v>17</v>
      </c>
      <c r="M12" s="16" t="s">
        <v>17</v>
      </c>
      <c r="N12" s="16" t="s">
        <v>17</v>
      </c>
      <c r="P12" s="21" t="s">
        <v>11</v>
      </c>
      <c r="Q12" s="16" t="s">
        <v>18</v>
      </c>
      <c r="S12" s="16" t="s">
        <v>10</v>
      </c>
    </row>
    <row r="13" spans="1:19" s="21" customFormat="1" ht="12" x14ac:dyDescent="0.2">
      <c r="A13" s="22" t="s">
        <v>19</v>
      </c>
      <c r="B13" s="22"/>
      <c r="C13" s="23" t="s">
        <v>20</v>
      </c>
      <c r="D13" s="23" t="s">
        <v>12</v>
      </c>
      <c r="E13" s="23" t="s">
        <v>21</v>
      </c>
      <c r="F13" s="23" t="s">
        <v>63</v>
      </c>
      <c r="G13" s="23" t="s">
        <v>22</v>
      </c>
      <c r="H13" s="24" t="s">
        <v>23</v>
      </c>
      <c r="I13" s="23" t="s">
        <v>24</v>
      </c>
      <c r="J13" s="20"/>
      <c r="K13" s="23" t="s">
        <v>25</v>
      </c>
      <c r="L13" s="23" t="s">
        <v>26</v>
      </c>
      <c r="M13" s="23" t="s">
        <v>12</v>
      </c>
      <c r="N13" s="23" t="s">
        <v>22</v>
      </c>
      <c r="O13" s="25"/>
      <c r="P13" s="23" t="s">
        <v>8</v>
      </c>
      <c r="Q13" s="23" t="s">
        <v>22</v>
      </c>
      <c r="S13" s="23" t="s">
        <v>27</v>
      </c>
    </row>
    <row r="14" spans="1:19" x14ac:dyDescent="0.25">
      <c r="A14" s="4">
        <v>42461</v>
      </c>
      <c r="K14" s="37"/>
      <c r="P14" s="37"/>
    </row>
    <row r="15" spans="1:19" x14ac:dyDescent="0.25">
      <c r="A15" s="4">
        <v>42491</v>
      </c>
      <c r="K15" s="37"/>
      <c r="P15" s="37"/>
    </row>
    <row r="16" spans="1:19" x14ac:dyDescent="0.25">
      <c r="A16" s="4">
        <v>42522</v>
      </c>
      <c r="K16" s="37"/>
      <c r="P16" s="37"/>
    </row>
    <row r="17" spans="1:19" x14ac:dyDescent="0.25">
      <c r="A17" s="4">
        <v>42552</v>
      </c>
      <c r="K17" s="37"/>
      <c r="P17" s="37"/>
    </row>
    <row r="18" spans="1:19" x14ac:dyDescent="0.25">
      <c r="A18" s="4">
        <v>42583</v>
      </c>
      <c r="K18" s="37"/>
      <c r="P18" s="37"/>
    </row>
    <row r="19" spans="1:19" x14ac:dyDescent="0.25">
      <c r="A19" s="4">
        <v>42614</v>
      </c>
      <c r="K19" s="37"/>
      <c r="P19" s="37"/>
    </row>
    <row r="20" spans="1:19" x14ac:dyDescent="0.25">
      <c r="A20" s="4">
        <v>42644</v>
      </c>
      <c r="K20" s="37"/>
      <c r="P20" s="37"/>
    </row>
    <row r="21" spans="1:19" x14ac:dyDescent="0.25">
      <c r="A21" s="4">
        <v>42675</v>
      </c>
      <c r="C21" s="26"/>
      <c r="K21" s="37"/>
      <c r="P21" s="37"/>
    </row>
    <row r="22" spans="1:19" x14ac:dyDescent="0.25">
      <c r="A22" s="4">
        <v>42705</v>
      </c>
      <c r="C22" s="26">
        <v>56269364.82</v>
      </c>
      <c r="D22" s="26">
        <v>668838.70000000007</v>
      </c>
      <c r="E22" s="26">
        <v>51238185.889999993</v>
      </c>
      <c r="F22" s="26">
        <v>0</v>
      </c>
      <c r="G22" s="26">
        <v>4362340.2300000004</v>
      </c>
      <c r="H22" s="27">
        <v>471.64516129032256</v>
      </c>
      <c r="I22" s="26">
        <v>298.36127693044256</v>
      </c>
      <c r="J22" s="26"/>
      <c r="K22" s="27">
        <v>23</v>
      </c>
      <c r="L22" s="26">
        <v>4253907</v>
      </c>
      <c r="M22" s="26">
        <v>0</v>
      </c>
      <c r="N22" s="26">
        <v>643441.25</v>
      </c>
      <c r="O22" s="26"/>
      <c r="P22" s="27">
        <v>12</v>
      </c>
      <c r="Q22" s="26">
        <v>125724</v>
      </c>
      <c r="R22" s="26"/>
      <c r="S22" s="26">
        <v>5131505.4800000004</v>
      </c>
    </row>
    <row r="23" spans="1:19" x14ac:dyDescent="0.25">
      <c r="A23" s="4">
        <v>42736</v>
      </c>
      <c r="C23" s="26">
        <v>65046008.37999998</v>
      </c>
      <c r="D23" s="26">
        <v>824887.08000000007</v>
      </c>
      <c r="E23" s="26">
        <v>59477620.25</v>
      </c>
      <c r="F23" s="26">
        <v>0</v>
      </c>
      <c r="G23" s="26">
        <v>4743501.05</v>
      </c>
      <c r="H23" s="27">
        <v>657.64516129032256</v>
      </c>
      <c r="I23" s="26">
        <v>232.67283317800559</v>
      </c>
      <c r="J23" s="26"/>
      <c r="K23" s="27">
        <v>23</v>
      </c>
      <c r="L23" s="26">
        <v>3744973</v>
      </c>
      <c r="M23" s="26">
        <v>0</v>
      </c>
      <c r="N23" s="26">
        <v>798772.25</v>
      </c>
      <c r="O23" s="26"/>
      <c r="P23" s="27">
        <v>12</v>
      </c>
      <c r="Q23" s="26">
        <v>116984</v>
      </c>
      <c r="R23" s="26"/>
      <c r="S23" s="26">
        <v>5659257.2999999998</v>
      </c>
    </row>
    <row r="24" spans="1:19" x14ac:dyDescent="0.25">
      <c r="A24" s="4">
        <v>42767</v>
      </c>
      <c r="C24" s="26">
        <v>66966346.079999998</v>
      </c>
      <c r="D24" s="26">
        <v>849577.37999999989</v>
      </c>
      <c r="E24" s="26">
        <v>61103283.710000016</v>
      </c>
      <c r="F24" s="26">
        <v>0</v>
      </c>
      <c r="G24" s="26">
        <v>5013484.99</v>
      </c>
      <c r="H24" s="27">
        <v>893.67857142857144</v>
      </c>
      <c r="I24" s="26">
        <v>200.35507293290175</v>
      </c>
      <c r="J24" s="30"/>
      <c r="K24" s="27">
        <v>23</v>
      </c>
      <c r="L24" s="26">
        <v>3536795</v>
      </c>
      <c r="M24" s="26">
        <v>0</v>
      </c>
      <c r="N24" s="26">
        <v>814864.5</v>
      </c>
      <c r="O24" s="30"/>
      <c r="P24" s="27">
        <v>12</v>
      </c>
      <c r="Q24" s="26">
        <v>117129</v>
      </c>
      <c r="R24" s="30"/>
      <c r="S24" s="26">
        <v>5945478.4900000002</v>
      </c>
    </row>
    <row r="25" spans="1:19" x14ac:dyDescent="0.25">
      <c r="A25" s="4">
        <v>42795</v>
      </c>
      <c r="C25" s="26">
        <v>68638243.100000009</v>
      </c>
      <c r="D25" s="26">
        <v>771802.17000000016</v>
      </c>
      <c r="E25" s="26">
        <v>62679181.059999987</v>
      </c>
      <c r="F25" s="26">
        <v>0</v>
      </c>
      <c r="G25" s="26">
        <v>5187259.8699999973</v>
      </c>
      <c r="H25" s="27">
        <v>942.25806451612902</v>
      </c>
      <c r="I25" s="26">
        <v>177.58506915439909</v>
      </c>
      <c r="J25" s="29">
        <v>0</v>
      </c>
      <c r="K25" s="27">
        <v>23</v>
      </c>
      <c r="L25" s="26">
        <v>3820042</v>
      </c>
      <c r="M25" s="26">
        <v>25620</v>
      </c>
      <c r="N25" s="26">
        <v>871317.75</v>
      </c>
      <c r="O25" s="59"/>
      <c r="P25" s="27">
        <v>12</v>
      </c>
      <c r="Q25" s="26">
        <v>117796</v>
      </c>
      <c r="R25" s="29"/>
      <c r="S25" s="26">
        <v>6176373.6199999973</v>
      </c>
    </row>
    <row r="26" spans="1:19" ht="15.75" thickBot="1" x14ac:dyDescent="0.3">
      <c r="A26" s="4" t="s">
        <v>28</v>
      </c>
      <c r="C26" s="31">
        <v>256919962.38</v>
      </c>
      <c r="D26" s="31">
        <v>3115105.33</v>
      </c>
      <c r="E26" s="31">
        <v>234498270.90999997</v>
      </c>
      <c r="F26" s="31">
        <v>0</v>
      </c>
      <c r="G26" s="31">
        <v>19306586.140000001</v>
      </c>
      <c r="H26" s="32">
        <v>738</v>
      </c>
      <c r="I26" s="31">
        <v>216.20401509552286</v>
      </c>
      <c r="J26" s="26"/>
      <c r="K26" s="32">
        <v>23</v>
      </c>
      <c r="L26" s="31">
        <v>15355717</v>
      </c>
      <c r="M26" s="31">
        <v>25620</v>
      </c>
      <c r="N26" s="31">
        <v>3128395.75</v>
      </c>
      <c r="O26" s="33"/>
      <c r="P26" s="32">
        <v>12</v>
      </c>
      <c r="Q26" s="31">
        <v>477633</v>
      </c>
      <c r="R26" s="33"/>
      <c r="S26" s="31">
        <v>22912614.890000001</v>
      </c>
    </row>
    <row r="27" spans="1:19" ht="10.5" customHeight="1" thickTop="1" x14ac:dyDescent="0.25">
      <c r="C27" s="36"/>
      <c r="D27" s="36"/>
      <c r="E27" s="36"/>
      <c r="F27" s="36"/>
      <c r="G27" s="36"/>
      <c r="K27" s="38"/>
      <c r="L27" s="36"/>
      <c r="M27" s="36"/>
      <c r="N27" s="36"/>
      <c r="O27" s="36"/>
      <c r="P27" s="38"/>
      <c r="Q27" s="36"/>
    </row>
    <row r="28" spans="1:19" s="42" customFormat="1" x14ac:dyDescent="0.25">
      <c r="A28" s="39"/>
      <c r="B28" s="39"/>
      <c r="C28" s="40"/>
      <c r="D28" s="41">
        <v>1.2124808446735537E-2</v>
      </c>
      <c r="E28" s="41">
        <v>0.91272888543850472</v>
      </c>
      <c r="F28" s="41">
        <v>0</v>
      </c>
      <c r="G28" s="40">
        <v>7.5146306114759601E-2</v>
      </c>
      <c r="K28" s="40"/>
      <c r="L28" s="40"/>
      <c r="M28" s="40"/>
      <c r="N28" s="40">
        <v>0.20372840616950677</v>
      </c>
      <c r="O28" s="40"/>
      <c r="P28" s="40"/>
      <c r="Q28" s="40"/>
    </row>
    <row r="29" spans="1:19" s="42" customFormat="1" x14ac:dyDescent="0.25">
      <c r="A29" s="39"/>
      <c r="B29" s="39"/>
      <c r="C29" s="40"/>
      <c r="D29" s="40"/>
      <c r="E29" s="40"/>
      <c r="F29" s="40"/>
      <c r="G29" s="40"/>
      <c r="K29" s="40"/>
      <c r="L29" s="40"/>
      <c r="M29" s="40"/>
      <c r="N29" s="40"/>
      <c r="O29" s="40"/>
      <c r="P29" s="40"/>
      <c r="Q29" s="40"/>
    </row>
    <row r="30" spans="1:19" s="42" customFormat="1" x14ac:dyDescent="0.25">
      <c r="A30" s="83" t="s">
        <v>29</v>
      </c>
      <c r="B30" s="84"/>
      <c r="C30" s="84"/>
      <c r="D30" s="84"/>
      <c r="E30" s="84"/>
      <c r="F30" s="84"/>
      <c r="G30" s="84"/>
      <c r="H30" s="84"/>
      <c r="I30" s="84"/>
      <c r="J30" s="84"/>
      <c r="K30" s="84"/>
      <c r="L30" s="84"/>
      <c r="M30" s="84"/>
      <c r="N30" s="84"/>
      <c r="O30" s="84"/>
      <c r="P30" s="84"/>
      <c r="Q30" s="84"/>
      <c r="R30" s="84"/>
      <c r="S30" s="85"/>
    </row>
    <row r="31" spans="1:19" s="44" customFormat="1" x14ac:dyDescent="0.25">
      <c r="A31" s="43"/>
      <c r="B31" s="43"/>
      <c r="C31" s="43"/>
      <c r="D31" s="43"/>
      <c r="E31" s="43"/>
      <c r="F31" s="43"/>
      <c r="G31" s="43"/>
      <c r="H31" s="43"/>
      <c r="I31" s="43"/>
      <c r="J31" s="43"/>
      <c r="K31" s="43"/>
      <c r="L31" s="43"/>
      <c r="M31" s="43"/>
      <c r="N31" s="43"/>
      <c r="O31" s="43"/>
      <c r="P31" s="43"/>
      <c r="Q31" s="43"/>
    </row>
    <row r="32" spans="1:19" s="44" customFormat="1" x14ac:dyDescent="0.25">
      <c r="A32" s="43"/>
      <c r="B32" s="43"/>
      <c r="C32" s="43"/>
      <c r="D32" s="43"/>
      <c r="E32" s="43"/>
      <c r="F32" s="43"/>
      <c r="G32" s="94" t="s">
        <v>30</v>
      </c>
      <c r="H32" s="95"/>
      <c r="I32" s="95"/>
      <c r="J32" s="95"/>
      <c r="K32" s="95"/>
      <c r="L32" s="95"/>
      <c r="M32" s="95"/>
      <c r="N32" s="95"/>
      <c r="O32" s="95"/>
      <c r="P32" s="96"/>
      <c r="Q32" s="45"/>
    </row>
    <row r="33" spans="1:19" s="46" customFormat="1" ht="12" x14ac:dyDescent="0.2">
      <c r="G33" s="16" t="s">
        <v>31</v>
      </c>
      <c r="H33" s="16" t="s">
        <v>32</v>
      </c>
      <c r="I33" s="16" t="s">
        <v>33</v>
      </c>
      <c r="L33" s="47"/>
      <c r="M33" s="47"/>
      <c r="N33" s="47"/>
      <c r="O33" s="47"/>
      <c r="P33" s="47"/>
      <c r="Q33" s="47"/>
    </row>
    <row r="34" spans="1:19" s="46" customFormat="1" ht="12.75" customHeight="1" x14ac:dyDescent="0.2">
      <c r="D34" s="16"/>
      <c r="E34" s="46" t="s">
        <v>10</v>
      </c>
      <c r="G34" s="16" t="s">
        <v>37</v>
      </c>
      <c r="H34" s="16" t="s">
        <v>38</v>
      </c>
      <c r="I34" s="16" t="s">
        <v>39</v>
      </c>
      <c r="K34" s="90" t="s">
        <v>40</v>
      </c>
      <c r="L34" s="90"/>
      <c r="M34" s="90"/>
      <c r="N34" s="90"/>
      <c r="O34" s="90"/>
      <c r="P34" s="90"/>
      <c r="Q34" s="48"/>
    </row>
    <row r="35" spans="1:19" s="46" customFormat="1" ht="12" x14ac:dyDescent="0.2">
      <c r="C35" s="23" t="s">
        <v>27</v>
      </c>
      <c r="D35" s="23" t="s">
        <v>67</v>
      </c>
      <c r="E35" s="49" t="s">
        <v>42</v>
      </c>
      <c r="F35" s="47"/>
      <c r="G35" s="23" t="s">
        <v>45</v>
      </c>
      <c r="H35" s="23" t="s">
        <v>46</v>
      </c>
      <c r="I35" s="23" t="s">
        <v>47</v>
      </c>
      <c r="J35" s="49"/>
      <c r="K35" s="49" t="s">
        <v>48</v>
      </c>
      <c r="L35" s="49" t="s">
        <v>49</v>
      </c>
      <c r="M35" s="49" t="s">
        <v>50</v>
      </c>
      <c r="N35" s="49" t="s">
        <v>51</v>
      </c>
      <c r="O35" s="60"/>
      <c r="P35" s="49" t="s">
        <v>52</v>
      </c>
    </row>
    <row r="36" spans="1:19" s="42" customFormat="1" x14ac:dyDescent="0.25">
      <c r="A36" s="4">
        <v>42461</v>
      </c>
      <c r="B36" s="39"/>
      <c r="C36" s="28"/>
      <c r="D36" s="40"/>
      <c r="G36" s="40"/>
      <c r="H36" s="40"/>
      <c r="K36" s="40"/>
      <c r="L36" s="40"/>
      <c r="M36" s="40"/>
      <c r="N36" s="40"/>
      <c r="O36" s="61"/>
      <c r="P36" s="40"/>
    </row>
    <row r="37" spans="1:19" s="42" customFormat="1" x14ac:dyDescent="0.25">
      <c r="A37" s="4">
        <v>42491</v>
      </c>
      <c r="B37" s="39"/>
      <c r="C37" s="36"/>
      <c r="D37" s="36"/>
      <c r="G37" s="36"/>
      <c r="H37" s="36"/>
      <c r="I37" s="28"/>
      <c r="J37" s="28"/>
      <c r="K37" s="36"/>
      <c r="L37" s="36"/>
      <c r="M37" s="36"/>
      <c r="N37" s="36"/>
      <c r="P37" s="36"/>
      <c r="R37" s="28"/>
      <c r="S37" s="28"/>
    </row>
    <row r="38" spans="1:19" s="42" customFormat="1" x14ac:dyDescent="0.25">
      <c r="A38" s="4">
        <v>42522</v>
      </c>
      <c r="B38" s="39"/>
      <c r="C38" s="36"/>
      <c r="D38" s="36"/>
      <c r="G38" s="36"/>
      <c r="H38" s="36"/>
      <c r="I38" s="28"/>
      <c r="J38" s="28"/>
      <c r="K38" s="36"/>
      <c r="L38" s="36"/>
      <c r="M38" s="36"/>
      <c r="N38" s="36"/>
      <c r="P38" s="36"/>
      <c r="R38" s="28"/>
      <c r="S38" s="28"/>
    </row>
    <row r="39" spans="1:19" s="42" customFormat="1" x14ac:dyDescent="0.25">
      <c r="A39" s="4">
        <v>42552</v>
      </c>
      <c r="B39" s="39"/>
      <c r="C39" s="36"/>
      <c r="D39" s="36"/>
      <c r="G39" s="36"/>
      <c r="H39" s="36"/>
      <c r="I39" s="28"/>
      <c r="J39" s="28"/>
      <c r="K39" s="36"/>
      <c r="L39" s="36"/>
      <c r="M39" s="36"/>
      <c r="N39" s="36"/>
      <c r="P39" s="36"/>
      <c r="R39" s="28"/>
      <c r="S39" s="28"/>
    </row>
    <row r="40" spans="1:19" s="42" customFormat="1" x14ac:dyDescent="0.25">
      <c r="A40" s="4">
        <v>42583</v>
      </c>
      <c r="B40" s="39"/>
      <c r="C40" s="36"/>
      <c r="D40" s="36"/>
      <c r="G40" s="36"/>
      <c r="H40" s="36"/>
      <c r="I40" s="28"/>
      <c r="J40" s="28"/>
      <c r="K40" s="36"/>
      <c r="L40" s="36"/>
      <c r="M40" s="36"/>
      <c r="N40" s="36"/>
      <c r="P40" s="36"/>
      <c r="R40" s="28"/>
      <c r="S40" s="28"/>
    </row>
    <row r="41" spans="1:19" s="42" customFormat="1" x14ac:dyDescent="0.25">
      <c r="A41" s="4">
        <v>42614</v>
      </c>
      <c r="B41" s="39"/>
      <c r="C41" s="36"/>
      <c r="D41" s="36"/>
      <c r="G41" s="36"/>
      <c r="H41" s="36"/>
      <c r="I41" s="28"/>
      <c r="J41" s="28"/>
      <c r="K41" s="36"/>
      <c r="L41" s="36"/>
      <c r="M41" s="36"/>
      <c r="N41" s="36"/>
      <c r="P41" s="36"/>
      <c r="R41" s="28"/>
      <c r="S41" s="28"/>
    </row>
    <row r="42" spans="1:19" s="42" customFormat="1" x14ac:dyDescent="0.25">
      <c r="A42" s="4">
        <v>42644</v>
      </c>
      <c r="B42" s="39"/>
      <c r="C42" s="36"/>
      <c r="D42" s="36"/>
      <c r="G42" s="36"/>
      <c r="H42" s="36"/>
      <c r="I42" s="28"/>
      <c r="J42" s="28"/>
      <c r="K42" s="36"/>
      <c r="L42" s="36"/>
      <c r="M42" s="36"/>
      <c r="N42" s="36"/>
      <c r="P42" s="36"/>
      <c r="R42" s="28"/>
      <c r="S42" s="28"/>
    </row>
    <row r="43" spans="1:19" s="42" customFormat="1" x14ac:dyDescent="0.25">
      <c r="A43" s="4">
        <v>42675</v>
      </c>
      <c r="B43" s="39"/>
      <c r="C43" s="36"/>
      <c r="D43" s="36"/>
      <c r="G43" s="36"/>
      <c r="H43" s="36"/>
      <c r="I43" s="28"/>
      <c r="J43" s="28"/>
      <c r="K43" s="36"/>
      <c r="L43" s="36"/>
      <c r="M43" s="36"/>
      <c r="N43" s="36"/>
      <c r="P43" s="36"/>
      <c r="R43" s="28"/>
      <c r="S43" s="28"/>
    </row>
    <row r="44" spans="1:19" s="42" customFormat="1" x14ac:dyDescent="0.25">
      <c r="A44" s="4">
        <v>42705</v>
      </c>
      <c r="B44" s="39"/>
      <c r="C44" s="36">
        <v>5131505.4800000004</v>
      </c>
      <c r="D44" s="36">
        <v>3440523.0699000005</v>
      </c>
      <c r="E44" s="36">
        <v>1690982.4101</v>
      </c>
      <c r="F44" s="36"/>
      <c r="G44" s="36">
        <v>1352785.9280800002</v>
      </c>
      <c r="H44" s="36">
        <v>84549.120505000014</v>
      </c>
      <c r="I44" s="36">
        <v>84549.120505000014</v>
      </c>
      <c r="K44" s="36">
        <v>90753.958708847698</v>
      </c>
      <c r="L44" s="36">
        <v>18820.362324466922</v>
      </c>
      <c r="M44" s="36">
        <v>4519.1490206514436</v>
      </c>
      <c r="N44" s="36">
        <v>45948.828825051882</v>
      </c>
      <c r="P44" s="36">
        <v>9055.9421309820755</v>
      </c>
      <c r="R44" s="28"/>
      <c r="S44" s="28"/>
    </row>
    <row r="45" spans="1:19" s="42" customFormat="1" x14ac:dyDescent="0.25">
      <c r="A45" s="4">
        <v>42736</v>
      </c>
      <c r="B45" s="39"/>
      <c r="C45" s="36">
        <v>5659257.2999999998</v>
      </c>
      <c r="D45" s="36">
        <v>3812586.2864999999</v>
      </c>
      <c r="E45" s="36">
        <v>1846671.0134999999</v>
      </c>
      <c r="F45" s="29"/>
      <c r="G45" s="36">
        <v>1477336.8108000001</v>
      </c>
      <c r="H45" s="36">
        <v>92333.550675000006</v>
      </c>
      <c r="I45" s="36">
        <v>92333.550675000006</v>
      </c>
      <c r="J45" s="29"/>
      <c r="K45" s="36">
        <v>99109.667792519482</v>
      </c>
      <c r="L45" s="36">
        <v>20553.151446504537</v>
      </c>
      <c r="M45" s="36">
        <v>4935.2266778637941</v>
      </c>
      <c r="N45" s="36">
        <v>50179.333497903528</v>
      </c>
      <c r="O45" s="29"/>
      <c r="P45" s="36">
        <v>9889.721935208685</v>
      </c>
      <c r="R45" s="28"/>
      <c r="S45" s="28"/>
    </row>
    <row r="46" spans="1:19" s="42" customFormat="1" x14ac:dyDescent="0.25">
      <c r="A46" s="4">
        <v>42767</v>
      </c>
      <c r="B46" s="39"/>
      <c r="C46" s="36">
        <v>5945478.4900000002</v>
      </c>
      <c r="D46" s="36">
        <v>3997289.6937000002</v>
      </c>
      <c r="E46" s="36">
        <v>1948188.7963</v>
      </c>
      <c r="G46" s="36">
        <v>1558551.0370400001</v>
      </c>
      <c r="H46" s="36">
        <v>97409.439815000005</v>
      </c>
      <c r="I46" s="36">
        <v>97409.439815000005</v>
      </c>
      <c r="J46" s="28"/>
      <c r="K46" s="36">
        <v>104558.06312378736</v>
      </c>
      <c r="L46" s="36">
        <v>21683.028045610939</v>
      </c>
      <c r="M46" s="36">
        <v>5206.5328641251845</v>
      </c>
      <c r="N46" s="36">
        <v>52937.862029433396</v>
      </c>
      <c r="P46" s="36">
        <v>10433.393567043127</v>
      </c>
      <c r="R46" s="28"/>
      <c r="S46" s="28"/>
    </row>
    <row r="47" spans="1:19" s="42" customFormat="1" x14ac:dyDescent="0.25">
      <c r="A47" s="4">
        <v>42795</v>
      </c>
      <c r="B47" s="39"/>
      <c r="C47" s="36">
        <v>6176373.6199999973</v>
      </c>
      <c r="D47" s="36">
        <v>4158176.0930999983</v>
      </c>
      <c r="E47" s="36">
        <v>2018197.526899999</v>
      </c>
      <c r="G47" s="36">
        <v>1614558.0215199995</v>
      </c>
      <c r="H47" s="36">
        <v>100909.87634499997</v>
      </c>
      <c r="I47" s="36">
        <v>100909.87634499997</v>
      </c>
      <c r="J47" s="28"/>
      <c r="K47" s="36">
        <v>108315.38751000345</v>
      </c>
      <c r="L47" s="36">
        <v>22462.213960200115</v>
      </c>
      <c r="M47" s="36">
        <v>5393.6311357797822</v>
      </c>
      <c r="N47" s="36">
        <v>54840.199486869344</v>
      </c>
      <c r="P47" s="36">
        <v>10808.320597147253</v>
      </c>
      <c r="R47" s="28"/>
      <c r="S47" s="28"/>
    </row>
    <row r="48" spans="1:19" s="42" customFormat="1" ht="15.75" thickBot="1" x14ac:dyDescent="0.3">
      <c r="A48" s="4" t="s">
        <v>28</v>
      </c>
      <c r="B48" s="39"/>
      <c r="C48" s="51">
        <v>22912614.890000001</v>
      </c>
      <c r="D48" s="51">
        <v>15408575.143199999</v>
      </c>
      <c r="E48" s="51">
        <v>7504039.7467999989</v>
      </c>
      <c r="F48" s="36"/>
      <c r="G48" s="51">
        <v>6003231.7974399999</v>
      </c>
      <c r="H48" s="51">
        <v>375201.98733999999</v>
      </c>
      <c r="I48" s="51">
        <v>375201.98733999999</v>
      </c>
      <c r="J48" s="62"/>
      <c r="K48" s="51">
        <v>402737.077135158</v>
      </c>
      <c r="L48" s="51">
        <v>83518.75577678252</v>
      </c>
      <c r="M48" s="51">
        <v>20054.539698420205</v>
      </c>
      <c r="N48" s="51">
        <v>203906.22383925813</v>
      </c>
      <c r="O48" s="62"/>
      <c r="P48" s="51">
        <v>40187.378230381139</v>
      </c>
      <c r="R48" s="28"/>
      <c r="S48" s="28"/>
    </row>
    <row r="49" spans="1:17" s="42" customFormat="1" ht="15.75" thickTop="1" x14ac:dyDescent="0.25">
      <c r="A49" s="39"/>
      <c r="B49" s="39"/>
      <c r="C49" s="36"/>
      <c r="D49" s="40"/>
      <c r="E49" s="40"/>
      <c r="F49" s="40"/>
      <c r="G49" s="40"/>
      <c r="H49" s="40"/>
      <c r="K49" s="40"/>
      <c r="L49" s="40"/>
      <c r="M49" s="40"/>
      <c r="N49" s="40"/>
      <c r="P49" s="40"/>
    </row>
    <row r="50" spans="1:17" s="42" customFormat="1" x14ac:dyDescent="0.25">
      <c r="A50" s="39"/>
      <c r="B50" s="39"/>
      <c r="C50" s="40"/>
      <c r="D50" s="40">
        <v>0.67249308807284713</v>
      </c>
      <c r="E50" s="40">
        <v>0.32750691192715276</v>
      </c>
      <c r="F50" s="40"/>
      <c r="G50" s="40">
        <v>0.8</v>
      </c>
      <c r="H50" s="40">
        <v>0.05</v>
      </c>
      <c r="I50" s="40">
        <v>0.05</v>
      </c>
      <c r="K50" s="40">
        <v>5.3669368863204656E-2</v>
      </c>
      <c r="L50" s="40">
        <v>1.1129839205928782E-2</v>
      </c>
      <c r="M50" s="40">
        <v>2.6724991304813124E-3</v>
      </c>
      <c r="N50" s="40">
        <v>2.7172860315167083E-2</v>
      </c>
      <c r="P50" s="40">
        <v>5.3554324852181827E-3</v>
      </c>
    </row>
    <row r="51" spans="1:17" s="42" customFormat="1" x14ac:dyDescent="0.25">
      <c r="A51" s="39"/>
      <c r="B51" s="39"/>
      <c r="C51" s="40"/>
      <c r="D51" s="40"/>
      <c r="G51" s="40"/>
      <c r="H51" s="40"/>
      <c r="I51" s="40"/>
      <c r="J51" s="40"/>
      <c r="K51" s="40"/>
      <c r="L51" s="40"/>
      <c r="M51" s="40"/>
      <c r="N51" s="40"/>
      <c r="O51" s="40"/>
      <c r="P51" s="40"/>
      <c r="Q51" s="40"/>
    </row>
    <row r="52" spans="1:17" s="42" customFormat="1" x14ac:dyDescent="0.25">
      <c r="A52" s="52" t="s">
        <v>53</v>
      </c>
      <c r="B52" s="39"/>
      <c r="C52" s="40"/>
      <c r="D52" s="40"/>
      <c r="G52" s="40"/>
      <c r="H52" s="40"/>
      <c r="I52" s="40"/>
      <c r="J52" s="40"/>
      <c r="K52" s="40"/>
      <c r="L52" s="40"/>
      <c r="M52" s="40"/>
      <c r="N52" s="40"/>
      <c r="O52" s="40"/>
      <c r="P52" s="40"/>
      <c r="Q52" s="40"/>
    </row>
    <row r="53" spans="1:17" s="42" customFormat="1" x14ac:dyDescent="0.25">
      <c r="A53" s="53" t="s">
        <v>54</v>
      </c>
      <c r="B53" s="39"/>
      <c r="C53" s="40"/>
      <c r="D53" s="40"/>
      <c r="G53" s="40"/>
      <c r="H53" s="40"/>
      <c r="I53" s="40"/>
      <c r="J53" s="40"/>
      <c r="K53" s="40"/>
      <c r="L53" s="40"/>
      <c r="M53" s="40"/>
      <c r="N53" s="40"/>
      <c r="O53" s="40"/>
      <c r="P53" s="40"/>
      <c r="Q53" s="40"/>
    </row>
    <row r="54" spans="1:17" s="42" customFormat="1" x14ac:dyDescent="0.25">
      <c r="A54" s="53" t="s">
        <v>55</v>
      </c>
      <c r="B54" s="39"/>
      <c r="C54" s="40"/>
      <c r="D54" s="40"/>
      <c r="G54" s="40"/>
      <c r="H54" s="40"/>
      <c r="I54" s="40"/>
      <c r="J54" s="40"/>
      <c r="K54" s="40"/>
      <c r="L54" s="40"/>
      <c r="M54" s="40"/>
      <c r="N54" s="40"/>
      <c r="O54" s="40"/>
      <c r="P54" s="40"/>
      <c r="Q54" s="40"/>
    </row>
    <row r="55" spans="1:17" s="42" customFormat="1" x14ac:dyDescent="0.25">
      <c r="A55" s="53" t="s">
        <v>56</v>
      </c>
      <c r="B55" s="39"/>
      <c r="C55" s="40"/>
      <c r="D55" s="40"/>
      <c r="G55" s="40"/>
      <c r="H55" s="40"/>
      <c r="I55" s="40"/>
      <c r="J55" s="40"/>
      <c r="K55" s="40"/>
      <c r="L55" s="40"/>
      <c r="M55" s="40"/>
      <c r="N55" s="40"/>
      <c r="O55" s="40"/>
      <c r="P55" s="40"/>
      <c r="Q55" s="40"/>
    </row>
    <row r="56" spans="1:17" s="42" customFormat="1" x14ac:dyDescent="0.25">
      <c r="A56" s="53"/>
      <c r="B56" s="39"/>
      <c r="C56" s="40"/>
      <c r="D56" s="40"/>
      <c r="G56" s="40"/>
      <c r="H56" s="40"/>
      <c r="I56" s="40"/>
      <c r="J56" s="40"/>
      <c r="K56" s="40"/>
      <c r="L56" s="40"/>
      <c r="M56" s="40"/>
      <c r="N56" s="40"/>
      <c r="O56" s="40"/>
      <c r="P56" s="40"/>
      <c r="Q56" s="40"/>
    </row>
    <row r="57" spans="1:17" s="42" customFormat="1" x14ac:dyDescent="0.25">
      <c r="A57" s="53" t="s">
        <v>57</v>
      </c>
      <c r="B57" s="39"/>
      <c r="C57" s="40"/>
      <c r="D57" s="54"/>
      <c r="G57" s="40"/>
      <c r="H57" s="40"/>
      <c r="I57" s="40"/>
      <c r="J57" s="40"/>
      <c r="K57" s="40"/>
      <c r="L57" s="40"/>
      <c r="M57" s="40"/>
      <c r="N57" s="40"/>
      <c r="O57" s="40"/>
      <c r="P57" s="40"/>
      <c r="Q57" s="40"/>
    </row>
  </sheetData>
  <sheetProtection password="F7B1" sheet="1" objects="1" scenarios="1" selectLockedCells="1"/>
  <mergeCells count="12">
    <mergeCell ref="K34:P34"/>
    <mergeCell ref="A1:S1"/>
    <mergeCell ref="A2:S2"/>
    <mergeCell ref="A3:S3"/>
    <mergeCell ref="A4:S4"/>
    <mergeCell ref="A5:S5"/>
    <mergeCell ref="A8:S8"/>
    <mergeCell ref="C10:I10"/>
    <mergeCell ref="K10:N10"/>
    <mergeCell ref="P10:Q10"/>
    <mergeCell ref="A30:S30"/>
    <mergeCell ref="G32:P32"/>
  </mergeCells>
  <hyperlinks>
    <hyperlink ref="A4" r:id="rId1" xr:uid="{00000000-0004-0000-0300-000000000000}"/>
  </hyperlinks>
  <printOptions horizontalCentered="1" verticalCentered="1"/>
  <pageMargins left="0" right="0" top="0.25" bottom="0.25" header="0.3" footer="0.3"/>
  <pageSetup scale="7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24-25 Tioga Monthly</vt:lpstr>
      <vt:lpstr>23-24 Tioga Monthly</vt:lpstr>
      <vt:lpstr>22-23 Tioga Monthly</vt:lpstr>
      <vt:lpstr>21-22 Tioga Monthly</vt:lpstr>
      <vt:lpstr>20-21 Tioga Monthly</vt:lpstr>
      <vt:lpstr>19-20 Tioga Monthly</vt:lpstr>
      <vt:lpstr>18 -19 Tioga Monthly </vt:lpstr>
      <vt:lpstr>17-18 Tioga Monthly </vt:lpstr>
      <vt:lpstr>16-17 Tioga Monthly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kedzior (Gaming)</dc:creator>
  <cp:lastModifiedBy>Day, Zachary (GAMING)</cp:lastModifiedBy>
  <cp:lastPrinted>2024-03-07T14:42:36Z</cp:lastPrinted>
  <dcterms:created xsi:type="dcterms:W3CDTF">2018-12-07T15:13:23Z</dcterms:created>
  <dcterms:modified xsi:type="dcterms:W3CDTF">2024-08-08T19:19:22Z</dcterms:modified>
</cp:coreProperties>
</file>